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fthumiou\Desktop\ΑΠΟΓΡΑΦΙΚΗ 2022-2023\ΤΕΛΙΚΑ ΑΠΟΓΡΑΦΙΚΗΣ 2022-2023  ΕΠΑΛΗΘΕΥΣΕΙΣ 23.10.2024\"/>
    </mc:Choice>
  </mc:AlternateContent>
  <bookViews>
    <workbookView xWindow="465" yWindow="90" windowWidth="20490" windowHeight="12225"/>
  </bookViews>
  <sheets>
    <sheet name="ΣΥΓΚΕΝΤΡΩΤΙΚΟ ΑΕΙ ΑΕΑ" sheetId="41" r:id="rId1"/>
    <sheet name="Φύλλο1" sheetId="14" state="hidden" r:id="rId2"/>
    <sheet name="Φύλλο2" sheetId="15" state="hidden" r:id="rId3"/>
    <sheet name="ΣΥΝΟΛΑ ΑΕΙ ΑΕΑ " sheetId="10" r:id="rId4"/>
    <sheet name="ΑΕΑΑ" sheetId="5" r:id="rId5"/>
    <sheet name="ΑΣΚΤ" sheetId="7" r:id="rId6"/>
    <sheet name="ΑΣΠΑΙΤΕ" sheetId="8" r:id="rId7"/>
    <sheet name="ΑΠΘ" sheetId="6" r:id="rId8"/>
    <sheet name="ΓΕΩΠΟΝΙΚΟ" sheetId="9" r:id="rId9"/>
    <sheet name=" ΔΙΠΑΕ" sheetId="33" r:id="rId10"/>
    <sheet name="ΔΠΘ" sheetId="11" r:id="rId11"/>
    <sheet name="ΕΑΠ" sheetId="37" r:id="rId12"/>
    <sheet name="ΕΚΠΑ" sheetId="13" r:id="rId13"/>
    <sheet name="ΕΛΜΕΠΑ" sheetId="17" r:id="rId14"/>
    <sheet name="ΕΜΠ" sheetId="18" r:id="rId15"/>
    <sheet name="ΙΟΝΙΟ ΠΑΝΜΙΟ" sheetId="19" r:id="rId16"/>
    <sheet name="ΟΠΑ" sheetId="20" r:id="rId17"/>
    <sheet name="ΠΑΔΑ" sheetId="21" r:id="rId18"/>
    <sheet name="ΠΑΕΑΚ" sheetId="23" r:id="rId19"/>
    <sheet name="Π. ΑΙΓΑΙΟΥ" sheetId="22" r:id="rId20"/>
    <sheet name="Π.ΔΥΤ.ΜΑΚΕΔΟΝΙΑΣ" sheetId="27" r:id="rId21"/>
    <sheet name="Π.ΘΕΣΣΑΛΙΑΣ" sheetId="28" r:id="rId22"/>
    <sheet name="Π. ΙΩΑΝΝΙΝΩΝ" sheetId="24" r:id="rId23"/>
    <sheet name="Π. ΚΡΗΤΗΣ" sheetId="29" r:id="rId24"/>
    <sheet name="Π.ΜΑΚΕΔΟΝΙΑΣ" sheetId="31" r:id="rId25"/>
    <sheet name="ΠΑΝΕΠΙΣΤΗΜΙΟ ΠΑΤΡΩΝ" sheetId="32" r:id="rId26"/>
    <sheet name="ΠΑΝΤΕΙΟ ΠΑΝ." sheetId="34" r:id="rId27"/>
    <sheet name="ΠΑΠΕΙ" sheetId="35" r:id="rId28"/>
    <sheet name="ΠΑΠΕΛ" sheetId="36" r:id="rId29"/>
    <sheet name="ΠΟΛ.ΚΡΗΤΗΣ" sheetId="38" r:id="rId30"/>
    <sheet name="ΧΑΡΟΚΟΠΕΙΟ ΠΑΝ." sheetId="39" r:id="rId31"/>
  </sheets>
  <calcPr calcId="162913"/>
</workbook>
</file>

<file path=xl/calcChain.xml><?xml version="1.0" encoding="utf-8"?>
<calcChain xmlns="http://schemas.openxmlformats.org/spreadsheetml/2006/main">
  <c r="E508" i="41" l="1"/>
  <c r="F508" i="41"/>
  <c r="G508" i="41"/>
  <c r="H508" i="41"/>
  <c r="I508" i="41"/>
  <c r="J508" i="41"/>
  <c r="K508" i="41"/>
  <c r="L508" i="41"/>
  <c r="M508" i="41"/>
  <c r="N508" i="41"/>
  <c r="O508" i="41"/>
  <c r="P508" i="41"/>
  <c r="Q508" i="41"/>
  <c r="R508" i="41"/>
  <c r="S508" i="41"/>
  <c r="T508" i="41"/>
  <c r="U508" i="41"/>
  <c r="V508" i="41"/>
  <c r="W508" i="41"/>
  <c r="D508" i="41"/>
  <c r="W391" i="41"/>
  <c r="V391" i="41"/>
  <c r="U391" i="41"/>
  <c r="T391" i="41"/>
  <c r="K391" i="41"/>
  <c r="J391" i="41"/>
  <c r="I391" i="41"/>
  <c r="H391" i="41"/>
  <c r="I22" i="10" l="1"/>
  <c r="E21" i="29"/>
  <c r="C22" i="10" s="1"/>
  <c r="F21" i="29"/>
  <c r="D22" i="10" s="1"/>
  <c r="G21" i="29"/>
  <c r="E22" i="10" s="1"/>
  <c r="H21" i="29"/>
  <c r="F22" i="10" s="1"/>
  <c r="I21" i="29"/>
  <c r="G22" i="10" s="1"/>
  <c r="J21" i="29"/>
  <c r="H22" i="10" s="1"/>
  <c r="K21" i="29"/>
  <c r="L21" i="29"/>
  <c r="J22" i="10" s="1"/>
  <c r="M21" i="29"/>
  <c r="K22" i="10" s="1"/>
  <c r="N21" i="29"/>
  <c r="L22" i="10" s="1"/>
  <c r="O21" i="29"/>
  <c r="M22" i="10" s="1"/>
  <c r="P21" i="29"/>
  <c r="N22" i="10" s="1"/>
  <c r="Q21" i="29"/>
  <c r="O22" i="10" s="1"/>
  <c r="R21" i="29"/>
  <c r="P22" i="10" s="1"/>
  <c r="S21" i="29"/>
  <c r="Q22" i="10" s="1"/>
  <c r="T21" i="29"/>
  <c r="R22" i="10" s="1"/>
  <c r="U21" i="29"/>
  <c r="S22" i="10" s="1"/>
  <c r="V21" i="29"/>
  <c r="T22" i="10" s="1"/>
  <c r="W21" i="29"/>
  <c r="U22" i="10" s="1"/>
  <c r="E53" i="13" l="1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E41" i="32"/>
  <c r="L41" i="32"/>
  <c r="M41" i="32"/>
  <c r="N41" i="32"/>
  <c r="O41" i="32"/>
  <c r="P41" i="32"/>
  <c r="Q41" i="32"/>
  <c r="R41" i="32"/>
  <c r="S41" i="32"/>
  <c r="C11" i="10" l="1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C17" i="10"/>
  <c r="D17" i="10"/>
  <c r="E17" i="10"/>
  <c r="F17" i="10"/>
  <c r="G17" i="10"/>
  <c r="H17" i="10"/>
  <c r="I17" i="10"/>
  <c r="J17" i="10"/>
  <c r="K17" i="10"/>
  <c r="L17" i="10"/>
  <c r="M17" i="10"/>
  <c r="P17" i="10"/>
  <c r="Q17" i="10"/>
  <c r="R17" i="10"/>
  <c r="S17" i="10"/>
  <c r="T17" i="10"/>
  <c r="U17" i="10"/>
  <c r="C24" i="10"/>
  <c r="J24" i="10"/>
  <c r="K24" i="10"/>
  <c r="L24" i="10"/>
  <c r="M24" i="10"/>
  <c r="N24" i="10"/>
  <c r="O24" i="10"/>
  <c r="P24" i="10"/>
  <c r="Q24" i="10"/>
  <c r="B17" i="10"/>
  <c r="E30" i="21" l="1"/>
  <c r="C18" i="10" s="1"/>
  <c r="F30" i="21"/>
  <c r="D18" i="10" s="1"/>
  <c r="G30" i="21"/>
  <c r="E18" i="10" s="1"/>
  <c r="H30" i="21"/>
  <c r="F18" i="10" s="1"/>
  <c r="I30" i="21"/>
  <c r="G18" i="10" s="1"/>
  <c r="J30" i="21"/>
  <c r="H18" i="10" s="1"/>
  <c r="K30" i="21"/>
  <c r="I18" i="10" s="1"/>
  <c r="L30" i="21"/>
  <c r="J18" i="10" s="1"/>
  <c r="M30" i="21"/>
  <c r="K18" i="10" s="1"/>
  <c r="N30" i="21"/>
  <c r="L18" i="10" s="1"/>
  <c r="O30" i="21"/>
  <c r="M18" i="10" s="1"/>
  <c r="P30" i="21"/>
  <c r="N18" i="10" s="1"/>
  <c r="Q30" i="21"/>
  <c r="O18" i="10" s="1"/>
  <c r="R30" i="21"/>
  <c r="P18" i="10" s="1"/>
  <c r="S30" i="21"/>
  <c r="Q18" i="10" s="1"/>
  <c r="T30" i="21"/>
  <c r="R18" i="10" s="1"/>
  <c r="U30" i="21"/>
  <c r="S18" i="10" s="1"/>
  <c r="V30" i="21"/>
  <c r="T18" i="10" s="1"/>
  <c r="W30" i="21"/>
  <c r="U18" i="10" s="1"/>
  <c r="G31" i="21" l="1"/>
  <c r="S31" i="21"/>
  <c r="Q31" i="21"/>
  <c r="O31" i="21"/>
  <c r="M31" i="21"/>
  <c r="K31" i="21"/>
  <c r="I31" i="21"/>
  <c r="W31" i="21"/>
  <c r="U31" i="21"/>
  <c r="D9" i="5"/>
  <c r="B4" i="10" s="1"/>
  <c r="E9" i="38"/>
  <c r="C29" i="10" s="1"/>
  <c r="F9" i="38"/>
  <c r="D29" i="10" s="1"/>
  <c r="G9" i="38"/>
  <c r="E29" i="10" s="1"/>
  <c r="H9" i="38"/>
  <c r="F29" i="10" s="1"/>
  <c r="I9" i="38"/>
  <c r="G29" i="10" s="1"/>
  <c r="J9" i="38"/>
  <c r="H29" i="10" s="1"/>
  <c r="K9" i="38"/>
  <c r="I29" i="10" s="1"/>
  <c r="L9" i="38"/>
  <c r="J29" i="10" s="1"/>
  <c r="M9" i="38"/>
  <c r="K29" i="10" s="1"/>
  <c r="N9" i="38"/>
  <c r="L29" i="10" s="1"/>
  <c r="O9" i="38"/>
  <c r="M29" i="10" s="1"/>
  <c r="P9" i="38"/>
  <c r="N29" i="10" s="1"/>
  <c r="Q9" i="38"/>
  <c r="O29" i="10" s="1"/>
  <c r="R9" i="38"/>
  <c r="P29" i="10" s="1"/>
  <c r="S9" i="38"/>
  <c r="Q29" i="10" s="1"/>
  <c r="T9" i="38"/>
  <c r="R29" i="10" s="1"/>
  <c r="U9" i="38"/>
  <c r="S29" i="10" s="1"/>
  <c r="V9" i="38"/>
  <c r="T29" i="10" s="1"/>
  <c r="W9" i="38"/>
  <c r="U29" i="10" s="1"/>
  <c r="D9" i="38"/>
  <c r="B29" i="10" s="1"/>
  <c r="E26" i="36"/>
  <c r="C26" i="10" s="1"/>
  <c r="F26" i="36"/>
  <c r="D26" i="10" s="1"/>
  <c r="G26" i="36"/>
  <c r="E26" i="10" s="1"/>
  <c r="H26" i="36"/>
  <c r="F26" i="10" s="1"/>
  <c r="I26" i="36"/>
  <c r="G26" i="10" s="1"/>
  <c r="J26" i="36"/>
  <c r="H26" i="10" s="1"/>
  <c r="K26" i="36"/>
  <c r="I26" i="10" s="1"/>
  <c r="L26" i="36"/>
  <c r="J26" i="10" s="1"/>
  <c r="M26" i="36"/>
  <c r="K26" i="10" s="1"/>
  <c r="N26" i="36"/>
  <c r="L26" i="10" s="1"/>
  <c r="O26" i="36"/>
  <c r="M26" i="10" s="1"/>
  <c r="P26" i="36"/>
  <c r="N26" i="10" s="1"/>
  <c r="Q26" i="36"/>
  <c r="O26" i="10" s="1"/>
  <c r="R26" i="36"/>
  <c r="P26" i="10" s="1"/>
  <c r="S26" i="36"/>
  <c r="Q26" i="10" s="1"/>
  <c r="T26" i="36"/>
  <c r="R26" i="10" s="1"/>
  <c r="U26" i="36"/>
  <c r="S26" i="10" s="1"/>
  <c r="V26" i="36"/>
  <c r="T26" i="10" s="1"/>
  <c r="W26" i="36"/>
  <c r="U26" i="10" s="1"/>
  <c r="D26" i="36"/>
  <c r="B26" i="10" s="1"/>
  <c r="D14" i="35"/>
  <c r="C25" i="10" s="1"/>
  <c r="E14" i="35"/>
  <c r="D25" i="10" s="1"/>
  <c r="F14" i="35"/>
  <c r="E25" i="10" s="1"/>
  <c r="G14" i="35"/>
  <c r="F25" i="10" s="1"/>
  <c r="H14" i="35"/>
  <c r="G25" i="10" s="1"/>
  <c r="I14" i="35"/>
  <c r="H25" i="10" s="1"/>
  <c r="J14" i="35"/>
  <c r="I25" i="10" s="1"/>
  <c r="K14" i="35"/>
  <c r="J25" i="10" s="1"/>
  <c r="L14" i="35"/>
  <c r="K25" i="10" s="1"/>
  <c r="M14" i="35"/>
  <c r="L25" i="10" s="1"/>
  <c r="N14" i="35"/>
  <c r="M25" i="10" s="1"/>
  <c r="O14" i="35"/>
  <c r="N25" i="10" s="1"/>
  <c r="P14" i="35"/>
  <c r="O25" i="10" s="1"/>
  <c r="Q14" i="35"/>
  <c r="P25" i="10" s="1"/>
  <c r="R14" i="35"/>
  <c r="Q25" i="10" s="1"/>
  <c r="S14" i="35"/>
  <c r="R25" i="10" s="1"/>
  <c r="T14" i="35"/>
  <c r="S25" i="10" s="1"/>
  <c r="U14" i="35"/>
  <c r="T25" i="10" s="1"/>
  <c r="V14" i="35"/>
  <c r="U25" i="10" s="1"/>
  <c r="C14" i="35"/>
  <c r="B25" i="10" s="1"/>
  <c r="E13" i="34"/>
  <c r="F13" i="34"/>
  <c r="G13" i="34"/>
  <c r="H13" i="34"/>
  <c r="I13" i="34"/>
  <c r="J13" i="34"/>
  <c r="K13" i="34"/>
  <c r="L13" i="34"/>
  <c r="M13" i="34"/>
  <c r="N13" i="34"/>
  <c r="O13" i="34"/>
  <c r="P13" i="34"/>
  <c r="Q13" i="34"/>
  <c r="R13" i="34"/>
  <c r="S13" i="34"/>
  <c r="T13" i="34"/>
  <c r="U13" i="34"/>
  <c r="V13" i="34"/>
  <c r="W13" i="34"/>
  <c r="D13" i="34"/>
  <c r="D21" i="29"/>
  <c r="B22" i="10" s="1"/>
  <c r="E57" i="28"/>
  <c r="C20" i="10" s="1"/>
  <c r="F57" i="28"/>
  <c r="D20" i="10" s="1"/>
  <c r="G57" i="28"/>
  <c r="E20" i="10" s="1"/>
  <c r="H57" i="28"/>
  <c r="F20" i="10" s="1"/>
  <c r="I57" i="28"/>
  <c r="G20" i="10" s="1"/>
  <c r="J57" i="28"/>
  <c r="H20" i="10" s="1"/>
  <c r="K57" i="28"/>
  <c r="I20" i="10" s="1"/>
  <c r="L57" i="28"/>
  <c r="J20" i="10" s="1"/>
  <c r="M57" i="28"/>
  <c r="K20" i="10" s="1"/>
  <c r="N57" i="28"/>
  <c r="L20" i="10" s="1"/>
  <c r="O57" i="28"/>
  <c r="M20" i="10" s="1"/>
  <c r="P57" i="28"/>
  <c r="N20" i="10" s="1"/>
  <c r="Q57" i="28"/>
  <c r="O20" i="10" s="1"/>
  <c r="R57" i="28"/>
  <c r="P20" i="10" s="1"/>
  <c r="S57" i="28"/>
  <c r="Q20" i="10" s="1"/>
  <c r="T57" i="28"/>
  <c r="R20" i="10" s="1"/>
  <c r="U57" i="28"/>
  <c r="S20" i="10" s="1"/>
  <c r="V57" i="28"/>
  <c r="T20" i="10" s="1"/>
  <c r="W57" i="28"/>
  <c r="U20" i="10" s="1"/>
  <c r="D57" i="28"/>
  <c r="B20" i="10" s="1"/>
  <c r="E13" i="37"/>
  <c r="F13" i="37"/>
  <c r="G13" i="37"/>
  <c r="H13" i="37"/>
  <c r="I13" i="37"/>
  <c r="J13" i="37"/>
  <c r="K13" i="37"/>
  <c r="L13" i="37"/>
  <c r="M13" i="37"/>
  <c r="N13" i="37"/>
  <c r="O13" i="37"/>
  <c r="P13" i="37"/>
  <c r="Q13" i="37"/>
  <c r="R13" i="37"/>
  <c r="S13" i="37"/>
  <c r="T13" i="37"/>
  <c r="U13" i="37"/>
  <c r="V13" i="37"/>
  <c r="W13" i="37"/>
  <c r="D13" i="37"/>
  <c r="E35" i="33"/>
  <c r="C10" i="10" s="1"/>
  <c r="F35" i="33"/>
  <c r="D10" i="10" s="1"/>
  <c r="G35" i="33"/>
  <c r="E10" i="10" s="1"/>
  <c r="H35" i="33"/>
  <c r="F10" i="10" s="1"/>
  <c r="I35" i="33"/>
  <c r="G10" i="10" s="1"/>
  <c r="J35" i="33"/>
  <c r="H10" i="10" s="1"/>
  <c r="K35" i="33"/>
  <c r="I10" i="10" s="1"/>
  <c r="L35" i="33"/>
  <c r="J10" i="10" s="1"/>
  <c r="M35" i="33"/>
  <c r="K10" i="10" s="1"/>
  <c r="N35" i="33"/>
  <c r="L10" i="10" s="1"/>
  <c r="O35" i="33"/>
  <c r="M10" i="10" s="1"/>
  <c r="P35" i="33"/>
  <c r="N10" i="10" s="1"/>
  <c r="Q35" i="33"/>
  <c r="O10" i="10" s="1"/>
  <c r="R35" i="33"/>
  <c r="P10" i="10" s="1"/>
  <c r="S35" i="33"/>
  <c r="Q10" i="10" s="1"/>
  <c r="T35" i="33"/>
  <c r="R10" i="10" s="1"/>
  <c r="U35" i="33"/>
  <c r="S10" i="10" s="1"/>
  <c r="V35" i="33"/>
  <c r="T10" i="10" s="1"/>
  <c r="W35" i="33"/>
  <c r="U10" i="10" s="1"/>
  <c r="D35" i="33"/>
  <c r="B10" i="10" s="1"/>
  <c r="W8" i="39"/>
  <c r="U30" i="10" s="1"/>
  <c r="V8" i="39"/>
  <c r="T30" i="10" s="1"/>
  <c r="U8" i="39"/>
  <c r="S30" i="10" s="1"/>
  <c r="T8" i="39"/>
  <c r="R30" i="10" s="1"/>
  <c r="S8" i="39"/>
  <c r="Q30" i="10" s="1"/>
  <c r="R8" i="39"/>
  <c r="P30" i="10" s="1"/>
  <c r="Q8" i="39"/>
  <c r="O30" i="10" s="1"/>
  <c r="P8" i="39"/>
  <c r="N30" i="10" s="1"/>
  <c r="O8" i="39"/>
  <c r="M30" i="10" s="1"/>
  <c r="N8" i="39"/>
  <c r="L30" i="10" s="1"/>
  <c r="M8" i="39"/>
  <c r="K30" i="10" s="1"/>
  <c r="L8" i="39"/>
  <c r="J30" i="10" s="1"/>
  <c r="K8" i="39"/>
  <c r="I30" i="10" s="1"/>
  <c r="J8" i="39"/>
  <c r="H30" i="10" s="1"/>
  <c r="I8" i="39"/>
  <c r="G30" i="10" s="1"/>
  <c r="H8" i="39"/>
  <c r="F30" i="10" s="1"/>
  <c r="G8" i="39"/>
  <c r="E30" i="10" s="1"/>
  <c r="F8" i="39"/>
  <c r="D30" i="10" s="1"/>
  <c r="E8" i="39"/>
  <c r="C30" i="10" s="1"/>
  <c r="D8" i="39"/>
  <c r="B30" i="10" l="1"/>
  <c r="R42" i="32"/>
  <c r="N42" i="32"/>
  <c r="D41" i="32"/>
  <c r="K40" i="32"/>
  <c r="J40" i="32"/>
  <c r="I40" i="32"/>
  <c r="H40" i="32"/>
  <c r="K39" i="32"/>
  <c r="J39" i="32"/>
  <c r="I39" i="32"/>
  <c r="H39" i="32"/>
  <c r="W38" i="32"/>
  <c r="V38" i="32"/>
  <c r="U38" i="32"/>
  <c r="T38" i="32"/>
  <c r="K38" i="32"/>
  <c r="J38" i="32"/>
  <c r="I38" i="32"/>
  <c r="H38" i="32"/>
  <c r="F38" i="32"/>
  <c r="W37" i="32"/>
  <c r="V37" i="32"/>
  <c r="U37" i="32"/>
  <c r="T37" i="32"/>
  <c r="K37" i="32"/>
  <c r="J37" i="32"/>
  <c r="I37" i="32"/>
  <c r="H37" i="32"/>
  <c r="G37" i="32"/>
  <c r="F37" i="32"/>
  <c r="W36" i="32"/>
  <c r="V36" i="32"/>
  <c r="U36" i="32"/>
  <c r="T36" i="32"/>
  <c r="K36" i="32"/>
  <c r="J36" i="32"/>
  <c r="I36" i="32"/>
  <c r="H36" i="32"/>
  <c r="G36" i="32"/>
  <c r="W35" i="32"/>
  <c r="V35" i="32"/>
  <c r="U35" i="32"/>
  <c r="T35" i="32"/>
  <c r="K35" i="32"/>
  <c r="J35" i="32"/>
  <c r="I35" i="32"/>
  <c r="H35" i="32"/>
  <c r="G35" i="32"/>
  <c r="F35" i="32"/>
  <c r="W34" i="32"/>
  <c r="V34" i="32"/>
  <c r="U34" i="32"/>
  <c r="T34" i="32"/>
  <c r="K34" i="32"/>
  <c r="J34" i="32"/>
  <c r="I34" i="32"/>
  <c r="H34" i="32"/>
  <c r="G34" i="32"/>
  <c r="F34" i="32"/>
  <c r="W33" i="32"/>
  <c r="V33" i="32"/>
  <c r="U33" i="32"/>
  <c r="T33" i="32"/>
  <c r="K33" i="32"/>
  <c r="J33" i="32"/>
  <c r="I33" i="32"/>
  <c r="H33" i="32"/>
  <c r="F33" i="32"/>
  <c r="U32" i="32"/>
  <c r="T32" i="32"/>
  <c r="I32" i="32"/>
  <c r="H32" i="32"/>
  <c r="W31" i="32"/>
  <c r="V31" i="32"/>
  <c r="U31" i="32"/>
  <c r="T31" i="32"/>
  <c r="K31" i="32"/>
  <c r="J31" i="32"/>
  <c r="I31" i="32"/>
  <c r="H31" i="32"/>
  <c r="F31" i="32"/>
  <c r="W30" i="32"/>
  <c r="V30" i="32"/>
  <c r="U30" i="32"/>
  <c r="T30" i="32"/>
  <c r="K30" i="32"/>
  <c r="J30" i="32"/>
  <c r="I30" i="32"/>
  <c r="H30" i="32"/>
  <c r="W29" i="32"/>
  <c r="V29" i="32"/>
  <c r="U29" i="32"/>
  <c r="T29" i="32"/>
  <c r="K29" i="32"/>
  <c r="J29" i="32"/>
  <c r="I29" i="32"/>
  <c r="H29" i="32"/>
  <c r="W28" i="32"/>
  <c r="V28" i="32"/>
  <c r="U28" i="32"/>
  <c r="T28" i="32"/>
  <c r="K28" i="32"/>
  <c r="J28" i="32"/>
  <c r="I28" i="32"/>
  <c r="H28" i="32"/>
  <c r="W27" i="32"/>
  <c r="V27" i="32"/>
  <c r="U27" i="32"/>
  <c r="T27" i="32"/>
  <c r="K27" i="32"/>
  <c r="J27" i="32"/>
  <c r="I27" i="32"/>
  <c r="H27" i="32"/>
  <c r="W25" i="32"/>
  <c r="V25" i="32"/>
  <c r="U25" i="32"/>
  <c r="T25" i="32"/>
  <c r="K25" i="32"/>
  <c r="J25" i="32"/>
  <c r="I25" i="32"/>
  <c r="H25" i="32"/>
  <c r="W23" i="32"/>
  <c r="V23" i="32"/>
  <c r="U23" i="32"/>
  <c r="T23" i="32"/>
  <c r="K23" i="32"/>
  <c r="J23" i="32"/>
  <c r="I23" i="32"/>
  <c r="H23" i="32"/>
  <c r="W22" i="32"/>
  <c r="U22" i="32"/>
  <c r="T22" i="32"/>
  <c r="K22" i="32"/>
  <c r="J22" i="32"/>
  <c r="I22" i="32"/>
  <c r="H22" i="32"/>
  <c r="W21" i="32"/>
  <c r="V21" i="32"/>
  <c r="U21" i="32"/>
  <c r="T21" i="32"/>
  <c r="K21" i="32"/>
  <c r="J21" i="32"/>
  <c r="I21" i="32"/>
  <c r="H21" i="32"/>
  <c r="W20" i="32"/>
  <c r="V20" i="32"/>
  <c r="U20" i="32"/>
  <c r="T20" i="32"/>
  <c r="K20" i="32"/>
  <c r="J20" i="32"/>
  <c r="I20" i="32"/>
  <c r="H20" i="32"/>
  <c r="U19" i="32"/>
  <c r="T19" i="32"/>
  <c r="I19" i="32"/>
  <c r="H19" i="32"/>
  <c r="U18" i="32"/>
  <c r="T18" i="32"/>
  <c r="I18" i="32"/>
  <c r="H18" i="32"/>
  <c r="I17" i="32"/>
  <c r="H17" i="32"/>
  <c r="U16" i="32"/>
  <c r="T16" i="32"/>
  <c r="I16" i="32"/>
  <c r="H16" i="32"/>
  <c r="U15" i="32"/>
  <c r="T15" i="32"/>
  <c r="I15" i="32"/>
  <c r="H15" i="32"/>
  <c r="U14" i="32"/>
  <c r="T14" i="32"/>
  <c r="I14" i="32"/>
  <c r="H14" i="32"/>
  <c r="U13" i="32"/>
  <c r="T13" i="32"/>
  <c r="I13" i="32"/>
  <c r="H13" i="32"/>
  <c r="U12" i="32"/>
  <c r="T12" i="32"/>
  <c r="I12" i="32"/>
  <c r="H12" i="32"/>
  <c r="U11" i="32"/>
  <c r="T11" i="32"/>
  <c r="I11" i="32"/>
  <c r="H11" i="32"/>
  <c r="U10" i="32"/>
  <c r="T10" i="32"/>
  <c r="I10" i="32"/>
  <c r="H10" i="32"/>
  <c r="W9" i="32"/>
  <c r="V9" i="32"/>
  <c r="U9" i="32"/>
  <c r="T9" i="32"/>
  <c r="K9" i="32"/>
  <c r="J9" i="32"/>
  <c r="I9" i="32"/>
  <c r="H9" i="32"/>
  <c r="W8" i="32"/>
  <c r="V8" i="32"/>
  <c r="U8" i="32"/>
  <c r="T8" i="32"/>
  <c r="K8" i="32"/>
  <c r="J8" i="32"/>
  <c r="I8" i="32"/>
  <c r="H8" i="32"/>
  <c r="W7" i="32"/>
  <c r="V7" i="32"/>
  <c r="U7" i="32"/>
  <c r="T7" i="32"/>
  <c r="K7" i="32"/>
  <c r="J7" i="32"/>
  <c r="I7" i="32"/>
  <c r="H7" i="32"/>
  <c r="W6" i="32"/>
  <c r="V6" i="32"/>
  <c r="U6" i="32"/>
  <c r="T6" i="32"/>
  <c r="K6" i="32"/>
  <c r="J6" i="32"/>
  <c r="I6" i="32"/>
  <c r="H6" i="32"/>
  <c r="W5" i="32"/>
  <c r="V5" i="32"/>
  <c r="U5" i="32"/>
  <c r="T5" i="32"/>
  <c r="K5" i="32"/>
  <c r="J5" i="32"/>
  <c r="I5" i="32"/>
  <c r="H5" i="32"/>
  <c r="W4" i="32"/>
  <c r="V4" i="32"/>
  <c r="U4" i="32"/>
  <c r="T4" i="32"/>
  <c r="K4" i="32"/>
  <c r="J4" i="32"/>
  <c r="I4" i="32"/>
  <c r="H4" i="32"/>
  <c r="V41" i="32" l="1"/>
  <c r="T24" i="10" s="1"/>
  <c r="H41" i="32"/>
  <c r="F24" i="10" s="1"/>
  <c r="I41" i="32"/>
  <c r="G24" i="10" s="1"/>
  <c r="K41" i="32"/>
  <c r="I24" i="10" s="1"/>
  <c r="D42" i="32"/>
  <c r="B24" i="10"/>
  <c r="T41" i="32"/>
  <c r="R24" i="10" s="1"/>
  <c r="J41" i="32"/>
  <c r="H24" i="10" s="1"/>
  <c r="G41" i="32"/>
  <c r="E24" i="10" s="1"/>
  <c r="U41" i="32"/>
  <c r="S24" i="10" s="1"/>
  <c r="F41" i="32"/>
  <c r="D24" i="10" s="1"/>
  <c r="W41" i="32"/>
  <c r="U24" i="10" s="1"/>
  <c r="L42" i="32"/>
  <c r="P42" i="32"/>
  <c r="F42" i="32" l="1"/>
  <c r="J42" i="32"/>
  <c r="V42" i="32"/>
  <c r="T42" i="32"/>
  <c r="H42" i="32"/>
  <c r="W14" i="31"/>
  <c r="U23" i="10" s="1"/>
  <c r="V14" i="31"/>
  <c r="T23" i="10" s="1"/>
  <c r="U14" i="31"/>
  <c r="S23" i="10" s="1"/>
  <c r="T14" i="31"/>
  <c r="R23" i="10" s="1"/>
  <c r="S14" i="31"/>
  <c r="Q23" i="10" s="1"/>
  <c r="R14" i="31"/>
  <c r="P23" i="10" s="1"/>
  <c r="Q14" i="31"/>
  <c r="O23" i="10" s="1"/>
  <c r="P14" i="31"/>
  <c r="N23" i="10" s="1"/>
  <c r="O14" i="31"/>
  <c r="M23" i="10" s="1"/>
  <c r="N14" i="31"/>
  <c r="L23" i="10" s="1"/>
  <c r="M14" i="31"/>
  <c r="K23" i="10" s="1"/>
  <c r="L14" i="31"/>
  <c r="J23" i="10" s="1"/>
  <c r="K14" i="31"/>
  <c r="I23" i="10" s="1"/>
  <c r="J14" i="31"/>
  <c r="H23" i="10" s="1"/>
  <c r="I14" i="31"/>
  <c r="G23" i="10" s="1"/>
  <c r="H14" i="31"/>
  <c r="F23" i="10" s="1"/>
  <c r="G14" i="31"/>
  <c r="E23" i="10" s="1"/>
  <c r="F14" i="31"/>
  <c r="D23" i="10" s="1"/>
  <c r="E14" i="31"/>
  <c r="C23" i="10" s="1"/>
  <c r="D14" i="31"/>
  <c r="B23" i="10" s="1"/>
  <c r="W41" i="27" l="1"/>
  <c r="U19" i="10" s="1"/>
  <c r="V41" i="27"/>
  <c r="T19" i="10" s="1"/>
  <c r="U41" i="27"/>
  <c r="S19" i="10" s="1"/>
  <c r="T41" i="27"/>
  <c r="R19" i="10" s="1"/>
  <c r="S41" i="27"/>
  <c r="Q19" i="10" s="1"/>
  <c r="R41" i="27"/>
  <c r="P19" i="10" s="1"/>
  <c r="Q41" i="27"/>
  <c r="O19" i="10" s="1"/>
  <c r="P41" i="27"/>
  <c r="N19" i="10" s="1"/>
  <c r="O41" i="27"/>
  <c r="M19" i="10" s="1"/>
  <c r="N41" i="27"/>
  <c r="L19" i="10" s="1"/>
  <c r="M41" i="27"/>
  <c r="K19" i="10" s="1"/>
  <c r="L41" i="27"/>
  <c r="J19" i="10" s="1"/>
  <c r="K41" i="27"/>
  <c r="I19" i="10" s="1"/>
  <c r="J41" i="27"/>
  <c r="H19" i="10" s="1"/>
  <c r="I41" i="27"/>
  <c r="G19" i="10" s="1"/>
  <c r="H41" i="27"/>
  <c r="F19" i="10" s="1"/>
  <c r="G41" i="27"/>
  <c r="E19" i="10" s="1"/>
  <c r="F41" i="27"/>
  <c r="D19" i="10" s="1"/>
  <c r="E41" i="27"/>
  <c r="C19" i="10" s="1"/>
  <c r="D41" i="27"/>
  <c r="B19" i="10" s="1"/>
  <c r="E34" i="24" l="1"/>
  <c r="C21" i="10" s="1"/>
  <c r="F34" i="24"/>
  <c r="D21" i="10" s="1"/>
  <c r="G34" i="24"/>
  <c r="E21" i="10" s="1"/>
  <c r="L34" i="24"/>
  <c r="J21" i="10" s="1"/>
  <c r="M34" i="24"/>
  <c r="K21" i="10" s="1"/>
  <c r="N34" i="24"/>
  <c r="L21" i="10" s="1"/>
  <c r="O34" i="24"/>
  <c r="M21" i="10" s="1"/>
  <c r="P34" i="24"/>
  <c r="N21" i="10" s="1"/>
  <c r="Q34" i="24"/>
  <c r="O21" i="10" s="1"/>
  <c r="R34" i="24"/>
  <c r="P21" i="10" s="1"/>
  <c r="S34" i="24"/>
  <c r="Q21" i="10" s="1"/>
  <c r="T34" i="24"/>
  <c r="R21" i="10" s="1"/>
  <c r="D34" i="24"/>
  <c r="B21" i="10" s="1"/>
  <c r="E6" i="23"/>
  <c r="C28" i="10" s="1"/>
  <c r="F6" i="23"/>
  <c r="D28" i="10" s="1"/>
  <c r="G6" i="23"/>
  <c r="E28" i="10" s="1"/>
  <c r="H6" i="23"/>
  <c r="F28" i="10" s="1"/>
  <c r="I6" i="23"/>
  <c r="G28" i="10" s="1"/>
  <c r="J6" i="23"/>
  <c r="H28" i="10" s="1"/>
  <c r="K6" i="23"/>
  <c r="I28" i="10" s="1"/>
  <c r="L6" i="23"/>
  <c r="J28" i="10" s="1"/>
  <c r="M6" i="23"/>
  <c r="K28" i="10" s="1"/>
  <c r="N6" i="23"/>
  <c r="L28" i="10" s="1"/>
  <c r="O6" i="23"/>
  <c r="M28" i="10" s="1"/>
  <c r="P6" i="23"/>
  <c r="N28" i="10" s="1"/>
  <c r="Q6" i="23"/>
  <c r="O28" i="10" s="1"/>
  <c r="R6" i="23"/>
  <c r="P28" i="10" s="1"/>
  <c r="S6" i="23"/>
  <c r="Q28" i="10" s="1"/>
  <c r="T6" i="23"/>
  <c r="R28" i="10" s="1"/>
  <c r="U6" i="23"/>
  <c r="S28" i="10" s="1"/>
  <c r="V6" i="23"/>
  <c r="T28" i="10" s="1"/>
  <c r="W6" i="23"/>
  <c r="U28" i="10" s="1"/>
  <c r="D6" i="23"/>
  <c r="B28" i="10" s="1"/>
  <c r="W33" i="24"/>
  <c r="W34" i="24" s="1"/>
  <c r="U21" i="10" s="1"/>
  <c r="V33" i="24"/>
  <c r="V34" i="24" s="1"/>
  <c r="T21" i="10" s="1"/>
  <c r="U33" i="24"/>
  <c r="U34" i="24" s="1"/>
  <c r="S21" i="10" s="1"/>
  <c r="T33" i="24"/>
  <c r="K33" i="24"/>
  <c r="K34" i="24" s="1"/>
  <c r="I21" i="10" s="1"/>
  <c r="J33" i="24"/>
  <c r="J34" i="24" s="1"/>
  <c r="H21" i="10" s="1"/>
  <c r="I33" i="24"/>
  <c r="I34" i="24" s="1"/>
  <c r="G21" i="10" s="1"/>
  <c r="H33" i="24"/>
  <c r="H34" i="24" s="1"/>
  <c r="F21" i="10" s="1"/>
  <c r="Q22" i="22" l="1"/>
  <c r="O17" i="10" s="1"/>
  <c r="P22" i="22"/>
  <c r="N17" i="10" s="1"/>
  <c r="D30" i="21" l="1"/>
  <c r="B18" i="10" s="1"/>
  <c r="E31" i="21" l="1"/>
  <c r="E16" i="19"/>
  <c r="C15" i="10" s="1"/>
  <c r="F16" i="19"/>
  <c r="D15" i="10" s="1"/>
  <c r="G16" i="19"/>
  <c r="E15" i="10" s="1"/>
  <c r="H16" i="19"/>
  <c r="F15" i="10" s="1"/>
  <c r="I16" i="19"/>
  <c r="G15" i="10" s="1"/>
  <c r="J16" i="19"/>
  <c r="H15" i="10" s="1"/>
  <c r="K16" i="19"/>
  <c r="I15" i="10" s="1"/>
  <c r="L16" i="19"/>
  <c r="J15" i="10" s="1"/>
  <c r="M16" i="19"/>
  <c r="K15" i="10" s="1"/>
  <c r="N16" i="19"/>
  <c r="L15" i="10" s="1"/>
  <c r="O16" i="19"/>
  <c r="M15" i="10" s="1"/>
  <c r="P16" i="19"/>
  <c r="N15" i="10" s="1"/>
  <c r="Q16" i="19"/>
  <c r="O15" i="10" s="1"/>
  <c r="R16" i="19"/>
  <c r="P15" i="10" s="1"/>
  <c r="S16" i="19"/>
  <c r="Q15" i="10" s="1"/>
  <c r="T16" i="19"/>
  <c r="R15" i="10" s="1"/>
  <c r="U16" i="19"/>
  <c r="S15" i="10" s="1"/>
  <c r="V16" i="19"/>
  <c r="T15" i="10" s="1"/>
  <c r="W16" i="19"/>
  <c r="U15" i="10" s="1"/>
  <c r="D16" i="19"/>
  <c r="B15" i="10" s="1"/>
  <c r="E12" i="20"/>
  <c r="C16" i="10" s="1"/>
  <c r="F12" i="20"/>
  <c r="D16" i="10" s="1"/>
  <c r="G12" i="20"/>
  <c r="E16" i="10" s="1"/>
  <c r="H12" i="20"/>
  <c r="F16" i="10" s="1"/>
  <c r="I12" i="20"/>
  <c r="G16" i="10" s="1"/>
  <c r="J12" i="20"/>
  <c r="H16" i="10" s="1"/>
  <c r="K12" i="20"/>
  <c r="I16" i="10" s="1"/>
  <c r="L12" i="20"/>
  <c r="J16" i="10" s="1"/>
  <c r="M12" i="20"/>
  <c r="K16" i="10" s="1"/>
  <c r="N12" i="20"/>
  <c r="L16" i="10" s="1"/>
  <c r="O12" i="20"/>
  <c r="M16" i="10" s="1"/>
  <c r="P12" i="20"/>
  <c r="N16" i="10" s="1"/>
  <c r="Q12" i="20"/>
  <c r="O16" i="10" s="1"/>
  <c r="R12" i="20"/>
  <c r="P16" i="10" s="1"/>
  <c r="S12" i="20"/>
  <c r="Q16" i="10" s="1"/>
  <c r="T12" i="20"/>
  <c r="R16" i="10" s="1"/>
  <c r="U12" i="20"/>
  <c r="S16" i="10" s="1"/>
  <c r="V12" i="20"/>
  <c r="T16" i="10" s="1"/>
  <c r="W12" i="20"/>
  <c r="U16" i="10" s="1"/>
  <c r="D12" i="20"/>
  <c r="B16" i="10" s="1"/>
  <c r="U13" i="18"/>
  <c r="U12" i="10" s="1"/>
  <c r="T13" i="18"/>
  <c r="T12" i="10" s="1"/>
  <c r="S13" i="18"/>
  <c r="S12" i="10" s="1"/>
  <c r="R13" i="18"/>
  <c r="R12" i="10" s="1"/>
  <c r="Q13" i="18"/>
  <c r="Q12" i="10" s="1"/>
  <c r="P13" i="18"/>
  <c r="P12" i="10" s="1"/>
  <c r="O13" i="18"/>
  <c r="O12" i="10" s="1"/>
  <c r="N13" i="18"/>
  <c r="N12" i="10" s="1"/>
  <c r="M13" i="18"/>
  <c r="M12" i="10" s="1"/>
  <c r="L13" i="18"/>
  <c r="L12" i="10" s="1"/>
  <c r="K13" i="18"/>
  <c r="K12" i="10" s="1"/>
  <c r="J13" i="18"/>
  <c r="J12" i="10" s="1"/>
  <c r="I13" i="18"/>
  <c r="I12" i="10" s="1"/>
  <c r="H13" i="18"/>
  <c r="H12" i="10" s="1"/>
  <c r="G13" i="18"/>
  <c r="G12" i="10" s="1"/>
  <c r="F13" i="18"/>
  <c r="F12" i="10" s="1"/>
  <c r="E13" i="18"/>
  <c r="E12" i="10" s="1"/>
  <c r="D13" i="18"/>
  <c r="D12" i="10" s="1"/>
  <c r="C13" i="18"/>
  <c r="C12" i="10" s="1"/>
  <c r="B13" i="18"/>
  <c r="B12" i="10" s="1"/>
  <c r="E15" i="17" l="1"/>
  <c r="C14" i="10" s="1"/>
  <c r="F15" i="17"/>
  <c r="D14" i="10" s="1"/>
  <c r="G15" i="17"/>
  <c r="E14" i="10" s="1"/>
  <c r="H15" i="17"/>
  <c r="F14" i="10" s="1"/>
  <c r="I15" i="17"/>
  <c r="G14" i="10" s="1"/>
  <c r="J15" i="17"/>
  <c r="H14" i="10" s="1"/>
  <c r="K15" i="17"/>
  <c r="I14" i="10" s="1"/>
  <c r="L15" i="17"/>
  <c r="J14" i="10" s="1"/>
  <c r="M15" i="17"/>
  <c r="K14" i="10" s="1"/>
  <c r="N15" i="17"/>
  <c r="L14" i="10" s="1"/>
  <c r="O15" i="17"/>
  <c r="M14" i="10" s="1"/>
  <c r="P15" i="17"/>
  <c r="N14" i="10" s="1"/>
  <c r="Q15" i="17"/>
  <c r="O14" i="10" s="1"/>
  <c r="R15" i="17"/>
  <c r="P14" i="10" s="1"/>
  <c r="S15" i="17"/>
  <c r="Q14" i="10" s="1"/>
  <c r="T15" i="17"/>
  <c r="R14" i="10" s="1"/>
  <c r="U15" i="17"/>
  <c r="S14" i="10" s="1"/>
  <c r="V15" i="17"/>
  <c r="T14" i="10" s="1"/>
  <c r="W15" i="17"/>
  <c r="U14" i="10" s="1"/>
  <c r="D15" i="17"/>
  <c r="B14" i="10" s="1"/>
  <c r="E47" i="6" l="1"/>
  <c r="C7" i="10" s="1"/>
  <c r="F47" i="6"/>
  <c r="D7" i="10" s="1"/>
  <c r="G47" i="6"/>
  <c r="E7" i="10" s="1"/>
  <c r="H47" i="6"/>
  <c r="F7" i="10" s="1"/>
  <c r="I47" i="6"/>
  <c r="G7" i="10" s="1"/>
  <c r="J47" i="6"/>
  <c r="H7" i="10" s="1"/>
  <c r="K47" i="6"/>
  <c r="I7" i="10" s="1"/>
  <c r="L47" i="6"/>
  <c r="J7" i="10" s="1"/>
  <c r="M47" i="6"/>
  <c r="K7" i="10" s="1"/>
  <c r="N47" i="6"/>
  <c r="L7" i="10" s="1"/>
  <c r="O47" i="6"/>
  <c r="M7" i="10" s="1"/>
  <c r="P47" i="6"/>
  <c r="N7" i="10" s="1"/>
  <c r="Q47" i="6"/>
  <c r="O7" i="10" s="1"/>
  <c r="R47" i="6"/>
  <c r="P7" i="10" s="1"/>
  <c r="S47" i="6"/>
  <c r="Q7" i="10" s="1"/>
  <c r="T47" i="6"/>
  <c r="R7" i="10" s="1"/>
  <c r="U47" i="6"/>
  <c r="S7" i="10" s="1"/>
  <c r="V47" i="6"/>
  <c r="T7" i="10" s="1"/>
  <c r="W47" i="6"/>
  <c r="U7" i="10" s="1"/>
  <c r="E9" i="5"/>
  <c r="C4" i="10" s="1"/>
  <c r="F9" i="5"/>
  <c r="D4" i="10" s="1"/>
  <c r="G9" i="5"/>
  <c r="E4" i="10" s="1"/>
  <c r="H9" i="5"/>
  <c r="F4" i="10" s="1"/>
  <c r="I9" i="5"/>
  <c r="G4" i="10" s="1"/>
  <c r="J9" i="5"/>
  <c r="H4" i="10" s="1"/>
  <c r="K9" i="5"/>
  <c r="I4" i="10" s="1"/>
  <c r="L9" i="5"/>
  <c r="J4" i="10" s="1"/>
  <c r="M9" i="5"/>
  <c r="K4" i="10" s="1"/>
  <c r="N9" i="5"/>
  <c r="L4" i="10" s="1"/>
  <c r="O9" i="5"/>
  <c r="M4" i="10" s="1"/>
  <c r="P9" i="5"/>
  <c r="N4" i="10" s="1"/>
  <c r="Q9" i="5"/>
  <c r="O4" i="10" s="1"/>
  <c r="R9" i="5"/>
  <c r="P4" i="10" s="1"/>
  <c r="S9" i="5"/>
  <c r="Q4" i="10" s="1"/>
  <c r="T9" i="5"/>
  <c r="R4" i="10" s="1"/>
  <c r="U9" i="5"/>
  <c r="S4" i="10" s="1"/>
  <c r="V9" i="5"/>
  <c r="T4" i="10" s="1"/>
  <c r="W9" i="5"/>
  <c r="U4" i="10" s="1"/>
  <c r="E6" i="7"/>
  <c r="C5" i="10" s="1"/>
  <c r="F6" i="7"/>
  <c r="D5" i="10" s="1"/>
  <c r="G6" i="7"/>
  <c r="E5" i="10" s="1"/>
  <c r="H6" i="7"/>
  <c r="F5" i="10" s="1"/>
  <c r="I6" i="7"/>
  <c r="G5" i="10" s="1"/>
  <c r="J6" i="7"/>
  <c r="H5" i="10" s="1"/>
  <c r="K6" i="7"/>
  <c r="I5" i="10" s="1"/>
  <c r="L6" i="7"/>
  <c r="J5" i="10" s="1"/>
  <c r="M6" i="7"/>
  <c r="K5" i="10" s="1"/>
  <c r="N6" i="7"/>
  <c r="L5" i="10" s="1"/>
  <c r="O6" i="7"/>
  <c r="M5" i="10" s="1"/>
  <c r="P6" i="7"/>
  <c r="N5" i="10" s="1"/>
  <c r="Q6" i="7"/>
  <c r="O5" i="10" s="1"/>
  <c r="R6" i="7"/>
  <c r="P5" i="10" s="1"/>
  <c r="S6" i="7"/>
  <c r="Q5" i="10" s="1"/>
  <c r="T6" i="7"/>
  <c r="R5" i="10" s="1"/>
  <c r="U6" i="7"/>
  <c r="S5" i="10" s="1"/>
  <c r="V6" i="7"/>
  <c r="T5" i="10" s="1"/>
  <c r="W6" i="7"/>
  <c r="U5" i="10" s="1"/>
  <c r="E8" i="8"/>
  <c r="C6" i="10" s="1"/>
  <c r="F8" i="8"/>
  <c r="D6" i="10" s="1"/>
  <c r="G8" i="8"/>
  <c r="E6" i="10" s="1"/>
  <c r="H8" i="8"/>
  <c r="F6" i="10" s="1"/>
  <c r="I8" i="8"/>
  <c r="G6" i="10" s="1"/>
  <c r="J8" i="8"/>
  <c r="H6" i="10" s="1"/>
  <c r="K8" i="8"/>
  <c r="I6" i="10" s="1"/>
  <c r="L8" i="8"/>
  <c r="J6" i="10" s="1"/>
  <c r="M8" i="8"/>
  <c r="K6" i="10" s="1"/>
  <c r="N8" i="8"/>
  <c r="L6" i="10" s="1"/>
  <c r="O8" i="8"/>
  <c r="M6" i="10" s="1"/>
  <c r="P8" i="8"/>
  <c r="N6" i="10" s="1"/>
  <c r="Q8" i="8"/>
  <c r="O6" i="10" s="1"/>
  <c r="R8" i="8"/>
  <c r="P6" i="10" s="1"/>
  <c r="S8" i="8"/>
  <c r="Q6" i="10" s="1"/>
  <c r="T8" i="8"/>
  <c r="R6" i="10" s="1"/>
  <c r="U8" i="8"/>
  <c r="S6" i="10" s="1"/>
  <c r="V8" i="8"/>
  <c r="T6" i="10" s="1"/>
  <c r="W8" i="8"/>
  <c r="U6" i="10" s="1"/>
  <c r="E23" i="9"/>
  <c r="C8" i="10" s="1"/>
  <c r="F23" i="9"/>
  <c r="D8" i="10" s="1"/>
  <c r="G23" i="9"/>
  <c r="E8" i="10" s="1"/>
  <c r="H23" i="9"/>
  <c r="F8" i="10" s="1"/>
  <c r="I23" i="9"/>
  <c r="G8" i="10" s="1"/>
  <c r="J23" i="9"/>
  <c r="H8" i="10" s="1"/>
  <c r="K23" i="9"/>
  <c r="I8" i="10" s="1"/>
  <c r="L23" i="9"/>
  <c r="J8" i="10" s="1"/>
  <c r="M23" i="9"/>
  <c r="K8" i="10" s="1"/>
  <c r="N23" i="9"/>
  <c r="L8" i="10" s="1"/>
  <c r="O23" i="9"/>
  <c r="M8" i="10" s="1"/>
  <c r="P23" i="9"/>
  <c r="N8" i="10" s="1"/>
  <c r="Q23" i="9"/>
  <c r="O8" i="10" s="1"/>
  <c r="R23" i="9"/>
  <c r="P8" i="10" s="1"/>
  <c r="S23" i="9"/>
  <c r="Q8" i="10" s="1"/>
  <c r="T23" i="9"/>
  <c r="R8" i="10" s="1"/>
  <c r="U23" i="9"/>
  <c r="S8" i="10" s="1"/>
  <c r="V23" i="9"/>
  <c r="T8" i="10" s="1"/>
  <c r="W23" i="9"/>
  <c r="U8" i="10" s="1"/>
  <c r="X23" i="9"/>
  <c r="Y23" i="9"/>
  <c r="Z23" i="9"/>
  <c r="AA23" i="9"/>
  <c r="AB23" i="9"/>
  <c r="AC23" i="9"/>
  <c r="AD23" i="9"/>
  <c r="AE23" i="9"/>
  <c r="AF23" i="9"/>
  <c r="AG23" i="9"/>
  <c r="AH23" i="9"/>
  <c r="AI23" i="9"/>
  <c r="AJ23" i="9"/>
  <c r="AK23" i="9"/>
  <c r="AL23" i="9"/>
  <c r="AM23" i="9"/>
  <c r="AN23" i="9"/>
  <c r="AO23" i="9"/>
  <c r="AP23" i="9"/>
  <c r="AQ23" i="9"/>
  <c r="AR23" i="9"/>
  <c r="AS23" i="9"/>
  <c r="E32" i="11"/>
  <c r="C9" i="10" s="1"/>
  <c r="F32" i="11"/>
  <c r="D9" i="10" s="1"/>
  <c r="G32" i="11"/>
  <c r="E9" i="10" s="1"/>
  <c r="H32" i="11"/>
  <c r="F9" i="10" s="1"/>
  <c r="I32" i="11"/>
  <c r="G9" i="10" s="1"/>
  <c r="J32" i="11"/>
  <c r="H9" i="10" s="1"/>
  <c r="K32" i="11"/>
  <c r="I9" i="10" s="1"/>
  <c r="L32" i="11"/>
  <c r="J9" i="10" s="1"/>
  <c r="M32" i="11"/>
  <c r="K9" i="10" s="1"/>
  <c r="N32" i="11"/>
  <c r="L9" i="10" s="1"/>
  <c r="O32" i="11"/>
  <c r="M9" i="10" s="1"/>
  <c r="P32" i="11"/>
  <c r="N9" i="10" s="1"/>
  <c r="Q32" i="11"/>
  <c r="O9" i="10" s="1"/>
  <c r="R32" i="11"/>
  <c r="P9" i="10" s="1"/>
  <c r="S32" i="11"/>
  <c r="Q9" i="10" s="1"/>
  <c r="T32" i="11"/>
  <c r="R9" i="10" s="1"/>
  <c r="U32" i="11"/>
  <c r="S9" i="10" s="1"/>
  <c r="V32" i="11"/>
  <c r="T9" i="10" s="1"/>
  <c r="W32" i="11"/>
  <c r="U9" i="10" s="1"/>
  <c r="N31" i="10" l="1"/>
  <c r="F31" i="10"/>
  <c r="U31" i="10"/>
  <c r="M31" i="10"/>
  <c r="E31" i="10"/>
  <c r="T31" i="10"/>
  <c r="L31" i="10"/>
  <c r="D31" i="10"/>
  <c r="S31" i="10"/>
  <c r="K31" i="10"/>
  <c r="C31" i="10"/>
  <c r="R31" i="10"/>
  <c r="J31" i="10"/>
  <c r="Q31" i="10"/>
  <c r="I31" i="10"/>
  <c r="P31" i="10"/>
  <c r="H31" i="10"/>
  <c r="O31" i="10"/>
  <c r="G31" i="10"/>
  <c r="D53" i="13"/>
  <c r="B11" i="10" s="1"/>
  <c r="D32" i="11" l="1"/>
  <c r="B9" i="10" s="1"/>
  <c r="D47" i="6" l="1"/>
  <c r="B7" i="10" s="1"/>
  <c r="D8" i="8"/>
  <c r="B6" i="10" s="1"/>
  <c r="D6" i="7"/>
  <c r="B5" i="10" s="1"/>
  <c r="AR24" i="9" l="1"/>
  <c r="AP24" i="9"/>
  <c r="AD24" i="9"/>
  <c r="AB24" i="9"/>
  <c r="Z24" i="9"/>
  <c r="N24" i="9"/>
  <c r="L24" i="9"/>
  <c r="J24" i="9"/>
  <c r="AN24" i="9"/>
  <c r="AL24" i="9"/>
  <c r="AJ24" i="9"/>
  <c r="AH24" i="9"/>
  <c r="AF24" i="9"/>
  <c r="X24" i="9"/>
  <c r="V24" i="9"/>
  <c r="T24" i="9"/>
  <c r="R24" i="9"/>
  <c r="P24" i="9"/>
  <c r="H24" i="9"/>
  <c r="F24" i="9"/>
  <c r="D23" i="9"/>
  <c r="F5" i="9"/>
  <c r="H5" i="9" s="1"/>
  <c r="J5" i="9" s="1"/>
  <c r="L5" i="9" s="1"/>
  <c r="N5" i="9" s="1"/>
  <c r="P5" i="9" s="1"/>
  <c r="D24" i="9" l="1"/>
  <c r="B8" i="10"/>
  <c r="B31" i="10" s="1"/>
</calcChain>
</file>

<file path=xl/comments1.xml><?xml version="1.0" encoding="utf-8"?>
<comments xmlns="http://schemas.openxmlformats.org/spreadsheetml/2006/main">
  <authors>
    <author>Άγγελος Καραγιάννης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161"/>
          </rPr>
          <t>Άγγελος Καραγιάννης: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<sst xmlns="http://schemas.openxmlformats.org/spreadsheetml/2006/main" count="4136" uniqueCount="933">
  <si>
    <t>ΙΔΡΥΜΑ</t>
  </si>
  <si>
    <t>ΤΜΗΜΑ</t>
  </si>
  <si>
    <t>Αριθμός εγγεγραμμένων φοιτητών στα κανονικά εξάμηνα (ν)</t>
  </si>
  <si>
    <t>Αριθμός πτυχιούχων εντός των κανονικών εξαμήνων φοίτησης (ν)</t>
  </si>
  <si>
    <t>ΣΧΟΛΗ</t>
  </si>
  <si>
    <t>Αριθμός νεοεγγραφέντων φοιτητών στο  Α΄ έτος</t>
  </si>
  <si>
    <t>Άρρεν</t>
  </si>
  <si>
    <t>Θήλυ</t>
  </si>
  <si>
    <t>ΑΠΟΓΡΑΦΙΚΗ ΕΡΕΥΝΑ ΦΟΙΤΗΤΩΝ ΑΚΑΔΗΜΑΪΚΟΥ ΕΤΟΥΣ 2022-2023</t>
  </si>
  <si>
    <t xml:space="preserve">Αριθμός διαγραφέντων φοιτητών </t>
  </si>
  <si>
    <t xml:space="preserve">Αριθμός εγγεγραμμένων φοιτητών  σε εξάμηνο φοίτησης &gt;ν και &lt;=ν+4 ή &lt;=ν+6 </t>
  </si>
  <si>
    <t xml:space="preserve">Αριθμός  εγγεγραμμένων φοιτητών σε εξάμηνα &gt; ν+4 ή  &gt;ν+6  </t>
  </si>
  <si>
    <t xml:space="preserve">Αριθμός πτυχιούχων σε εξάμηνο φοίτησης &gt;ν και &lt;=ν+4 ή &lt;=ν+6  </t>
  </si>
  <si>
    <t xml:space="preserve">Αριθμός πτυχιούχων σε εξάμηνο φοίτησης «&gt;ν+4 ή  &gt;ν+6  </t>
  </si>
  <si>
    <t>Αριθμός  φοιτητών σε αναστολή φοίτησης</t>
  </si>
  <si>
    <t>Αριθμός  φοιτητών σε καθεστώς μερικής  φοίτησης</t>
  </si>
  <si>
    <t>Α.Π.Θ.</t>
  </si>
  <si>
    <t>ΘΕΟΛΟΓΙΚΗ ΣΧΟΛΗ</t>
  </si>
  <si>
    <t>ΘΕΟΛΟΓΙΑ - ΕΙΣΑΓΩΓΙΚΗ ΚΑΤΕΥΘΥΝΣΗ ΜΟΥΣΟΥΛΜΑΝΙΚΩΝ ΣΠΟΥΔΩΝ</t>
  </si>
  <si>
    <t>ΘΕΟΛΟΓΙΑΣ</t>
  </si>
  <si>
    <t>ΚΟΙΝΩΝΙΚΗΣ ΘΕΟΛΟΓΙΑΣ ΚΑΙ ΧΡΙΣΤΙΑΝΙΚΟΥ ΠΟΛΙΤΙΣΜΟΥ</t>
  </si>
  <si>
    <t>ΝΟΜΙΚΗ ΣΧΟΛΗ</t>
  </si>
  <si>
    <t>ΝΟΜΙΚΗΣ</t>
  </si>
  <si>
    <t>ΠΑΙΔΑΓΩΓΙΚΗ ΣΧΟΛΗ</t>
  </si>
  <si>
    <t>ΕΠΙΣΤΗΜΩΝ ΠΡΟΣΧΟΛΙΚΗΣ ΑΓΩΓΗΣ ΚΑΙ ΕΚΠΑΙΔΕΥΣΗΣ</t>
  </si>
  <si>
    <t>ΠΑΙΔΑΓΩΓΙΚΟΥ ΔΗΜΟΤΙΚΗΣ ΕΚΠΑΙΔΕΥΣΗΣ</t>
  </si>
  <si>
    <t>ΣΧΟΛΗ ΕΠΙΣΤΗΜΩΝ ΦΥΣΙΚΗΣ ΑΓΩΓΗΣ ΚΑΙ ΑΘΛΗΤΙΣΜΟΥ</t>
  </si>
  <si>
    <t>ΕΠΙΣΤΗΜΗΣ ΦΥΣΙΚΗΣ ΑΓΩΓΗΣ ΚΑΙ ΑΘΛΗΤΙΣΜΟΥ</t>
  </si>
  <si>
    <t>ΕΠΙΣΤΗΜΗΣ ΦΥΣΙΚΗΣ ΑΓΩΓΗΣ ΚΑΙ ΑΘΛΗΤΙΣΜΟΥ ΣΕΡΡΩΝ</t>
  </si>
  <si>
    <t>ΣΧΟΛΗ ΘΕΤΙΚΩΝ ΕΠΙΣΤΗΜΩΝ</t>
  </si>
  <si>
    <t>ΒΙΟΛΟΓΙΑΣ</t>
  </si>
  <si>
    <t>ΓΕΩΛΟΓΙΑΣ</t>
  </si>
  <si>
    <t>ΜΑΘΗΜΑΤΙΚΩΝ</t>
  </si>
  <si>
    <t>ΠΛΗΡΟΦΟΡΙΚΗΣ</t>
  </si>
  <si>
    <t>ΦΥΣΙΚΗΣ</t>
  </si>
  <si>
    <t>ΧΗΜΕΙΑΣ</t>
  </si>
  <si>
    <t>ΣΧΟΛΗ ΚΟΙΝΩΝΙΚΩΝ ΚΑΙ ΟΙΚΟΝΟΜΙΚΩΝ ΕΠΙΣΤΗΜΩΝ</t>
  </si>
  <si>
    <t>ΔΗΜΟΣΙΟΓΡΑΦΙΑΣ ΚΑΙ ΜΕΣΩΝ ΜΑΖΙΚΗΣ ΕΠΙΚΟΙΝΩΝΙΑΣ</t>
  </si>
  <si>
    <t>ΟΙΚΟΝΟΜΙΚΩΝ ΕΠΙΣΤΗΜΩΝ</t>
  </si>
  <si>
    <t>ΠΟΛΙΤΙΚΩΝ ΕΠΙΣΤΗΜΩΝ</t>
  </si>
  <si>
    <t>ΦΙΛΟΣΟΦΙΚΗ ΣΧΟΛΗ</t>
  </si>
  <si>
    <t>ΑΓΓΛΙΚΗΣ ΓΛΩΣΣΑΣ ΚΑΙ ΦΙΛΟΛΟΓΙΑΣ</t>
  </si>
  <si>
    <t>ΓΑΛΛΙΚΗΣ ΓΛΩΣΣΑΣ ΚΑΙ ΦΙΛΟΛΟΓΙΑΣ</t>
  </si>
  <si>
    <t>ΓΕΡΜΑΝΙΚΗΣ ΓΛΩΣΣΑΣ ΚΑΙ ΦΙΛΟΛΟΓΙΑΣ</t>
  </si>
  <si>
    <t>ΙΣΤΟΡΙΑΣ ΚΑΙ ΑΡΧΑΙΟΛΟΓΙΑΣ</t>
  </si>
  <si>
    <t>ΙΤΑΛΙΚΗΣ ΓΛΩΣΣAΣ ΚΑΙ ΦΙΛΟΛΟΓΙΑΣ</t>
  </si>
  <si>
    <t>ΦΙΛΟΛΟΓΙΑΣ</t>
  </si>
  <si>
    <t>ΦΙΛΟΣΟΦΙΑΣ ΚΑΙ ΠΑΙΔΑΓΩΓΙΚΗΣ</t>
  </si>
  <si>
    <t>ΨΥΧΟΛΟΓΙΑΣ</t>
  </si>
  <si>
    <t>ΠΟΛΥΤΕΧΝΙΚΗ ΣΧΟΛΗ</t>
  </si>
  <si>
    <t>ΑΓΡΟΝΟΜΩΝ ΚΑΙ ΤΟΠΟΓΡΑΦΩΝ ΜΗΧΑΝΙΚΩΝ</t>
  </si>
  <si>
    <t>ΑΡΧΙΤΕΚΤΟΝΩΝ ΜΗΧΑΝΙΚΩΝ</t>
  </si>
  <si>
    <t>ΗΛΕΚΤΡΟΛΟΓΩΝ ΜΗΧΑΝΙΚΩΝ ΚΑΙ ΜΗΧΑΝΙΚΩΝ ΥΠΟΛΟΓΙΣΤΩΝ</t>
  </si>
  <si>
    <t>ΜΗΧΑΝΙΚΩΝ ΧΩΡΟΤΑΞΙΑΣ ΚΑΙ ΑΝΑΠΤΥΞΗΣ</t>
  </si>
  <si>
    <t>ΜΗΧΑΝΟΛΟΓΩΝ ΜΗΧΑΝΙΚΩΝ</t>
  </si>
  <si>
    <t>ΠΟΛΙΤΙΚΩΝ ΜΗΧΑΝΙΚΩΝ</t>
  </si>
  <si>
    <t>ΧΗΜΙΚΩΝ ΜΗΧΑΝΙΚΩΝ</t>
  </si>
  <si>
    <t>ΣΧΟΛΗ ΓΕΩΠΟΝΙΑΣ, ΔΑΣΟΛΟΓΙΑΣ ΚΑΙ ΦΥΣΙΚΟΥ ΠΕΡΙΒΑΛΛΟΝΤΟΣ</t>
  </si>
  <si>
    <t>ΓΕΩΠΟΝΙΑΣ</t>
  </si>
  <si>
    <t>ΔΑΣΟΛΟΓΙΑΣ ΚΑΙ ΦΥΣΙΚΟΥ ΠΕΡΙΒΑΛΛΟΝΤΟΣ</t>
  </si>
  <si>
    <t>ΣΧΟΛΗ ΕΠΙΣΤΗΜΩΝ ΥΓΕΙΑΣ</t>
  </si>
  <si>
    <t>ΙΑΤΡΙΚΗΣ</t>
  </si>
  <si>
    <t>ΙΑΤΡΙΚΗΣ ΑΠΠΣ</t>
  </si>
  <si>
    <t>ΚΤΗΝΙΑΤΡΙΚΗΣ</t>
  </si>
  <si>
    <t>ΟΔΟΝΤΙΑΤΡΙΚΗΣ</t>
  </si>
  <si>
    <t>ΦΑΡΜΑΚΕΥΤΙΚΗΣ</t>
  </si>
  <si>
    <t>ΣΧΟΛΗ ΚΑΛΩΝ ΤΕΧΝΩΝ</t>
  </si>
  <si>
    <t>ΕΙΚΑΣΤΙΚΩΝ ΚΑΙ ΕΦΑΡΜΟΣΜΕΝΩΝ ΤΕΧΝΩΝ</t>
  </si>
  <si>
    <t>ΘΕΑΤΡΟΥ</t>
  </si>
  <si>
    <t>ΚΙΝΗΜΑΤΟΓΡΑΦΟΥ</t>
  </si>
  <si>
    <t>ΜΟΥΣΙΚΩΝ ΣΠΟΥΔΩΝ</t>
  </si>
  <si>
    <t>ΑΝΩΤΑΤΗ ΕΚΚΛΗΣΙΑΣΤΙΚΗ ΑΚΑΔΗΜΙΑ ΑΘΗΝΑΣ</t>
  </si>
  <si>
    <t>ΙΕΡΑΤΙΚΩΝ ΣΠΟΥΔΩΝ</t>
  </si>
  <si>
    <t>ΔΙΑΧΕΙΡΙΣΗΣ ΕΚΚΛΗΣΙΑΣΤΙΚΩΝ ΚΕΙΜΗΛΙΩΝ</t>
  </si>
  <si>
    <t>πρώην ΑΝΩΤΑΤΗ ΕΚΚΛΗΣΙΑΣΤΙΚΗ ΑΚΑΔΗΜΙΑ ΒΕΛΛΑΣ ΙΩΑΝΝΙΝΩΝ (συγχωνεύτηκε σύμφωνα με τον Ν.4823/2021)</t>
  </si>
  <si>
    <t>πρώην ΑΝΩΤΑΤΗ ΕΚΚΛΗΣΙΑΣΤΙΚΗ ΑΚΑΔΗΜΙΑ ΒΕΛΛΑΣ ΙΩΑΝΝΙΝΩΝ(συγχωνεύτηκε σύμφωνα με τον Ν.4823/2021)</t>
  </si>
  <si>
    <t>ΙΕΡΑΤΙΚΩΝ ΣΠΟΥΔΩΝ(συγχωνεύτηκε σύμφωνα με τον Ν.4823/2021)</t>
  </si>
  <si>
    <t>πρώην ΑΝΩΤΑΤΗ ΕΚΚΛΗΣΙΑΣΤΙΚΗ ΑΚΑΔΗΜΙΑ ΘΕΣΣΑΛΟΝΙΚΗΣ (συγχωνεύτηκε σύμφωνα με τον Ν.4823/2021)</t>
  </si>
  <si>
    <t>ΔΙΑΧΕΙΡΙΣΗΣ ΕΚΚΛΗΣΙΑΣΤΙΚΩΝ ΚΕΙΜΗΛΙΩΝ (συγχωνεύτηκε σύμφωνα με τον Ν.4823/2021)</t>
  </si>
  <si>
    <t>ΙΕΡΑΤΙΚΩΝ ΣΠΟΥΔΩΝ (συγχωνεύτηκε σύμφωνα με τον Ν.4823/2021)</t>
  </si>
  <si>
    <t>ΑΝΩΤΑΤΗ ΣΧΟΛΗ ΚΑΛΩΝ ΤΕΧΝΩΝ</t>
  </si>
  <si>
    <t>ΕΙΚΑΣΤΙΚΩΝ ΤΕΧΝΩΝ</t>
  </si>
  <si>
    <t>ΘΕΩΡΙΑΣ ΚΑΙ ΙΣΤΟΡΙΑΣ ΤΗΣ ΤΕΧΝΗΣ</t>
  </si>
  <si>
    <t>ΑΣΠΑΙΤΕ</t>
  </si>
  <si>
    <t>ΠΑΙΔΑΓΩΓΙΚΗΣ &amp; ΤΕΧΝΟΛΟΓΙΑΣ</t>
  </si>
  <si>
    <t>ΕΚΠΑΙΔΕΥΤΙΚΩΝ ΗΛΕΚΤΡΟΛΟΓΩΝ ΜΗΧΑΝΙΚΩΝ &amp; ΕΚΠΑΙΔΕΥΤΙΚΩΝ ΗΛΕΚΤΡΟΝΙΚΩΝ ΜΗΧΑΝΙΚΩΝ - ΕΚΠΑΙΔΕΥΤΙΚΩΝ ΗΛΕΚΤΡΟΛΟΓΩΝ ΜΗΧΑΝΙΚΩΝ</t>
  </si>
  <si>
    <t>ΕΚΠΑΙΔΕΥΤΙΚΩΝ ΗΛΕΚΤΡΟΛΟΓΩΝ ΜΗΧΑΝΙΚΩΝ &amp; ΕΚΠΑΙΔΕΥΤΙΚΩΝ ΗΛΕΚΤΡΟΝΙΚΩΝ ΜΗΧΑΝΙΚΩΝ - ΕΚΠΑΙΔΕΥΤΙΚΩΝ ΗΛΕΚΤΡΟΝΙΚΩΝ ΜΗΧΑΝΙΚΩΝ</t>
  </si>
  <si>
    <t>ΕΚΠΑΙΔΕΥΤΙΚΩΝ ΜΗΧΑΝΟΛΟΓΩΝ ΜΗΧΑΝΙΚΩΝ</t>
  </si>
  <si>
    <t>ΕΚΠΑΙΔΕΥΤΙΚΩΝ ΠΟΛΙΤΙΚΩΝ ΜΗΧΑΝΙΚΩΝ</t>
  </si>
  <si>
    <t>ΥΠΟΥΡΓΕΙΟ ΠΑΙΔΕΙΑΣ, ΘΡΗΣΚΕΥΜΑΤΩΝ ΚΑΙ ΑΘΛΗΤΙΣΜΟΥ</t>
  </si>
  <si>
    <t>Δ/ΝΣΗ ΟΡΓΑΝΩΤΙΚΗΣ ΚΑΙ ΑΚΑΔΗΜΑΪΚΗΣ ΑΝΑΠΤΥΞΗΣ 
ΤΜΗΜΑ Γ΄- ΤΕΚΜΗΡΙΩΣΗΣ ΚΑΙ ΔΙΑΣΦΑΛΙΣΗΣ ΠΟΙΟΤΗΤΑΣ</t>
  </si>
  <si>
    <t>ΑΕΙ</t>
  </si>
  <si>
    <t>ΣΧΟΛΗ *</t>
  </si>
  <si>
    <t>ΤΜΗΜΑ *</t>
  </si>
  <si>
    <t xml:space="preserve">Αριθμός πτυχιούχων σε εξάμηνο φοίτησης «&gt;ν+4 ή  &gt;ν+6  
</t>
  </si>
  <si>
    <t>Αριθμός νεοεγγραφέντων μεταπτυχιακών φοιτητών</t>
  </si>
  <si>
    <t>Συνολικός αριθμός μεταπτυχιακών φοιτητών</t>
  </si>
  <si>
    <t>Αριθμός διπλωματούχων μεταπτυχιακών φοιτητών</t>
  </si>
  <si>
    <t>Αριθμός νεοεγγεγραφέντων υποψηφίων διδακτόρων</t>
  </si>
  <si>
    <t xml:space="preserve">Αριθμός υποψηφίων διδακτόρων στα 3 έτη από την ημερομηνία ορισμού της τριμελούς συμβουλευτικής επιτροπής </t>
  </si>
  <si>
    <t xml:space="preserve">Αριθμός υποψηφίων διδακτόρων σε &gt;6 έτη  από την ημερομηνία ορισμού της τριμελούς συμβουλευτικής επιτροπής </t>
  </si>
  <si>
    <t>Συνολικός αριθμός υποψηφίων διδακτόρων</t>
  </si>
  <si>
    <t>Αριθμός διπλωματούχων διδακτόρων</t>
  </si>
  <si>
    <t>Αριθμός νεοεγγεγραφέντων υποψηφίων μεταδιδακτόρων</t>
  </si>
  <si>
    <t>Συνολικός αριθμός υποψηφίων μεταδιδακτόρων</t>
  </si>
  <si>
    <t>Αριθμός διπλωματούχων μεταδιδακτόρων</t>
  </si>
  <si>
    <t>Α</t>
  </si>
  <si>
    <t>Θ</t>
  </si>
  <si>
    <t>ΓΕΩΠΟΝΙΚΟ ΠΑΝ/ΜΙΟ ΑΘΗΝΩΝ (Γ.Π.Α.)</t>
  </si>
  <si>
    <t>ΕΠΙΣΤΗΜΩΝ ΤΩΝ ΦΥΤΩΝ  (Ε.Φ.)</t>
  </si>
  <si>
    <t xml:space="preserve"> ---</t>
  </si>
  <si>
    <t>ΕΠΙΣΤΗΜΩΝ ΤΩΝ ΖΩΩΝ (Ε.Ζ.)</t>
  </si>
  <si>
    <t xml:space="preserve"> --</t>
  </si>
  <si>
    <t>ΠΕΡΙΒΑΛΛΟΝΤΟΣ ΚΑΙ ΓΕΩΡΓΙΚΗΣ ΜΗΧΑΝΙΚΗΣ (Π.Γ.Μ.)</t>
  </si>
  <si>
    <t>ΕΦΑΡΜΟΣΜΕΝΗΣ ΒΙΟΛΟΓΙΑΣ ΚΑΙ ΒΙΟΤΕΧΝΟΛΟΓΙΑΣ (Ε.Β.Β.)</t>
  </si>
  <si>
    <t>ΕΦΑΡΜΟΣΜΕΝΩΝ ΟΙΚΟΝΟΜΙΚΩΝ ΚΑΙ ΚΟΙΝΩΝΙΚΩΝ ΕΠΙΣΤΗΜΩΝ (Ε.Ο.Κ.Ε.)</t>
  </si>
  <si>
    <t>ΕΠΙΣΤΗΜΩΝ ΤΡΟΦΙΜΩΝ ΚΑΙ ΔΙΑΤΡΟΦΗΣ (Ε.Τ.Δ.)</t>
  </si>
  <si>
    <t xml:space="preserve"> ----------</t>
  </si>
  <si>
    <t xml:space="preserve">ΓΕΝΙΚΑ  ΣΥΝΟΛΑ </t>
  </si>
  <si>
    <r>
      <rPr>
        <sz val="18"/>
        <rFont val="Calibri"/>
        <family val="2"/>
        <charset val="161"/>
        <scheme val="minor"/>
      </rPr>
      <t>*</t>
    </r>
    <r>
      <rPr>
        <sz val="11"/>
        <rFont val="Calibri"/>
        <family val="2"/>
        <charset val="161"/>
        <scheme val="minor"/>
      </rPr>
      <t xml:space="preserve"> </t>
    </r>
    <r>
      <rPr>
        <sz val="16"/>
        <rFont val="Calibri"/>
        <family val="2"/>
        <charset val="161"/>
        <scheme val="minor"/>
      </rPr>
      <t xml:space="preserve">Ν. 4589/29.01.2019 (ΦΕΚ 13/τ.Α/29.01.2019) «Συνέργειες Εθνικού και Καποδιστριακού Πανεπιστημίου Αθηνών, Γεωπονικού Πανεπιστημίου Αθηνών, Πανεπιστήμιου Θεσσαλίας με τα Τ.Ε.Ι. Θεσσαλίας και Στερεάς Ελλάδας, Παλλημνιακό Ταμείο και άλλες διατάξεις». </t>
    </r>
    <r>
      <rPr>
        <b/>
        <sz val="16"/>
        <rFont val="Calibri"/>
        <family val="2"/>
        <charset val="161"/>
        <scheme val="minor"/>
      </rPr>
      <t>Συνημμένα Άρθρα Ίδρυσης και Επανίδρυσης Σχολών και Ακαδημαϊκών Τμημάτων</t>
    </r>
    <r>
      <rPr>
        <sz val="16"/>
        <rFont val="Calibri"/>
        <family val="2"/>
        <charset val="161"/>
        <scheme val="minor"/>
      </rPr>
      <t xml:space="preserve"> του Γ.Π.Α. :</t>
    </r>
  </si>
  <si>
    <t>Άρθρο 7, παρ. 3, εδαφ. α</t>
  </si>
  <si>
    <t>Άρθρο 12, παρ. 5, εδαφ. ε, στ και ζ</t>
  </si>
  <si>
    <t>Άρθρο 19, παρ. 1, εδαφ. α, β, γ, δ, ε και στ</t>
  </si>
  <si>
    <t>Άρθρο 20, παρ. 1, εδαφ. α, β, γ, δ, ε, στ, ζ και η</t>
  </si>
  <si>
    <t>Άρθρο 20, παρ. 2, εδαφ. α, β, γ, δ, ε και στ</t>
  </si>
  <si>
    <r>
      <rPr>
        <sz val="18"/>
        <rFont val="Calibri"/>
        <family val="2"/>
        <charset val="161"/>
        <scheme val="minor"/>
      </rPr>
      <t>**</t>
    </r>
    <r>
      <rPr>
        <sz val="11"/>
        <rFont val="Calibri"/>
        <family val="2"/>
        <charset val="161"/>
        <scheme val="minor"/>
      </rPr>
      <t xml:space="preserve"> </t>
    </r>
    <r>
      <rPr>
        <sz val="16"/>
        <rFont val="Calibri"/>
        <family val="2"/>
        <charset val="161"/>
        <scheme val="minor"/>
      </rPr>
      <t xml:space="preserve"> </t>
    </r>
    <r>
      <rPr>
        <sz val="20"/>
        <rFont val="Calibri"/>
        <family val="2"/>
        <scheme val="minor"/>
      </rPr>
      <t>Α</t>
    </r>
    <r>
      <rPr>
        <sz val="16"/>
        <rFont val="Calibri"/>
        <family val="2"/>
        <charset val="161"/>
        <scheme val="minor"/>
      </rPr>
      <t xml:space="preserve">=Άρρεν - </t>
    </r>
    <r>
      <rPr>
        <sz val="20"/>
        <rFont val="Calibri"/>
        <family val="2"/>
        <scheme val="minor"/>
      </rPr>
      <t>Θ</t>
    </r>
    <r>
      <rPr>
        <sz val="16"/>
        <rFont val="Calibri"/>
        <family val="2"/>
        <charset val="161"/>
        <scheme val="minor"/>
      </rPr>
      <t>=Θήλυ</t>
    </r>
  </si>
  <si>
    <t>ΣΥΝΟΛΟ</t>
  </si>
  <si>
    <t>ΑΝΩΤΑΤΗ ΣΧΟΛΗ ΠΑΙΔΑΓΩΓΙΚΗΣ &amp; ΤΕΧΝΟΛΟΓΙΚΗΣ ΕΚΠΑΙΔΕΥΣΗΣ(ΑΣΠΑΙΤΕ)</t>
  </si>
  <si>
    <t>ΝΟΜΙΚΗ</t>
  </si>
  <si>
    <t>ΣΕΦΑΑ</t>
  </si>
  <si>
    <t>ΤΕΦΑΑ</t>
  </si>
  <si>
    <t>ΚΛΑΣΙΚΩΝ ΚΑΙ ΑΝΘΡΩΠΙΣΤΙΚΩΝ ΣΠΟΥΔΩΝ</t>
  </si>
  <si>
    <t>ΓΛΩΣΣΑΣ ΦΙΛΟΛΟΓΙΑΣ &amp; ΠΟΛΙΤΙΣΜΟΥ Π.Χ.</t>
  </si>
  <si>
    <t>ΕΛΛΗΝΙΚΗΣ ΦΙΛΟΛΟΓΙΑΣ</t>
  </si>
  <si>
    <t>ΤΜΗΜΑ ΙΣΤΟΡΙΑΣ ΚΑΙ ΕΘΝΟΛΟΓΙΑΣ</t>
  </si>
  <si>
    <t>ΚΟΙΝΩΝΙΚΩΝ, ΠΟΛΙΤΙΚΩΝ ΚΑΙ ΟΙΚΟΝΟΜΙΚΩΝ ΕΠΙΣΤΗΜΩΝ</t>
  </si>
  <si>
    <t>ΚΟΙΝΩΝΙΚΗΣ ΕΡΓΑΣΙΑΣ</t>
  </si>
  <si>
    <t>ΚΟΙΝΩΝΙΚΗΣ ΠΟΛΙΤΙΚΗΣ</t>
  </si>
  <si>
    <t>ΠΟΛΙΤΙΚΗΣ ΕΠΙΣΤΗΜΗΣ</t>
  </si>
  <si>
    <t xml:space="preserve">ΠΟΛΥΤΕΧΝΙΚΗ </t>
  </si>
  <si>
    <t>Η.Μ&amp;Μ.Υ.</t>
  </si>
  <si>
    <t>ΠΟΛΥΤΕΧΝΙΚΗ</t>
  </si>
  <si>
    <t>ΜΗΧΑΝΙΚΩΝ ΠΑΡΑΓΩΓΗΣ &amp; ΔΙΟΙΚΗΣΗΣ</t>
  </si>
  <si>
    <t>ΜΗΧΑΝΙΚΩΝ ΠΕΡΙΒΑΛΛΟΝΤΟΣ</t>
  </si>
  <si>
    <t>ΕΠΙΣΤΗΜΩΝ ΥΓΕΙΑΣ</t>
  </si>
  <si>
    <t>ΜΟΡΙΑΚΗΣ ΒΙΟΛΟΓΙΑΣ ΚΑΙ ΓΕΝΕΤΙΚΗΣ</t>
  </si>
  <si>
    <t>ΕΠΙΣΤΗΜΩΝ ΤΗΣ ΑΓΩΓΗΣ</t>
  </si>
  <si>
    <t>ΠΑΙΔΑΓΩΓΙΚΟ ΤΜΗΜΑ ΔΗΜΟΤΙΚΗΣ ΕΚΠΑΙΔΕΥΣΗΣ</t>
  </si>
  <si>
    <t xml:space="preserve">ΤΜΗΜΑ ΕΠΙΣΤΗΜΩΝ ΤΗΣ ΕΚΠΑΙΔΕΥΣΗΣ ΣΤΗΝ ΠΡΟΣΧΟΛΙΚΗ ΗΛΙΚΙΑ </t>
  </si>
  <si>
    <t>ΕΠΙΣΤΗΜΩΝ ΓΕΩΠΟΝΙΑΣ ΚΑΙ ΔΑΣΟΛΟΓΙΑΣ</t>
  </si>
  <si>
    <t>ΑΓΡΟΤΙΚΗΣ ΑΝΑΠΤΥΞΗΣ</t>
  </si>
  <si>
    <t>ΔΑΣΟΛΟΓΙΑΣ ΚΑΙ ΔΙΑΧΕΙΡΙΣΗΣ ΠΕΡΙΒΑΛΛΟΝΤΟΣ ΚΑΙ ΦΥΣΙΚΩΝ ΠΟΡΩΝ</t>
  </si>
  <si>
    <t>ΘΕΤΙΚΩΝ ΕΠΙΣΤΗΜΩΝ</t>
  </si>
  <si>
    <t xml:space="preserve">ΧΗΜΕΙΑΣ </t>
  </si>
  <si>
    <t>ΔΙΟΙΚΗΤΙΚΗΣ ΕΠΙΣΤΗΜΗΣ ΚΑΙ ΛΟΓΙΣΤΙΚΗΣ</t>
  </si>
  <si>
    <t>ΔΙΟΙΚΗΤΙΚΗΣ ΕΠΙΣΤΗΜΗΣ ΚΑΙ ΤΕΧΝΟΛΟΓΙΑΣ</t>
  </si>
  <si>
    <t>ΛΟΓΙΣΤΙΚΗΣ ΚΑΙ ΧΡΗΜΑΤΟΟΙΚΟΝΟΜΙΚΗΣ</t>
  </si>
  <si>
    <t xml:space="preserve">ΔΑΣΟΛΟΓΙΑΣ ΚΑΙ ΦΥΣΙΚΟΥ ΠΕΡΙΒΑΛΛΟΝΤΟΣ </t>
  </si>
  <si>
    <t>ΑΓΡΟΤΙΚΗΣ ΒΙΟΤΕΧΝΟΛΟΓΙΑΣ ΚΑΙ ΟΙΝΟΛΟΓΙΑΣ</t>
  </si>
  <si>
    <t>ΝΟΣΗΛΕΥΤΙΚΗΣ ΠΑΡΑΡΤΗΜΑ ΔΙΔΥΜΟΤΕΙΧΟΥ</t>
  </si>
  <si>
    <t>ΔΗΜΟΚΡΙΤΕΙΟ ΠΑΝΕΠΙΣΤΗΜΙΟ ΘΡΑΚΗΣ(Δ.Π.Θ.)</t>
  </si>
  <si>
    <t>ΤΜΗΜΑ  ΘΕΟΛΟΓΙΑΣ</t>
  </si>
  <si>
    <t>ΤΜΗΜΑ ΚΟΙΝΩΝΙΚΗΣ ΘΕΟΛΟΓΙΑΣ ΚΑΙ ΘΡΗΣΚΕΙΟΛΟΓΙΑΣ</t>
  </si>
  <si>
    <t>ΤΜΗΜΑ ΝΟΜΙΚΗΣ</t>
  </si>
  <si>
    <t>ΣΧΟΛΗ ΟΙΚΟΝΟΜΙΚΩΝ ΚΑΙ ΠΟΛΙΤΙΚΩΝ ΕΠΙΣΤΗΜΩΝ</t>
  </si>
  <si>
    <t>ΤΜΗΜΑ ΟΙΚΟΝΟΜΙΚΩΝ ΕΠΙΣΤΗΜΩΝ</t>
  </si>
  <si>
    <t>ΤΜΗΜΑ ΠΟΛΙΤΙΚΗΣ ΕΠΙΣΤΗΜΗΣ ΚΑΙ ΔΗΜΟΣΙΑΣ ΔΙΟΙΚΗΣΗΣ</t>
  </si>
  <si>
    <t>ΤΜΗΜΑ ΤΟΥΡΚΙΚΩΝ ΣΠΟΥΔΩΝ ΚΑΙ ΣΥΓΧΡΟΝΩΝ ΑΣΙΑΤΙΚΩΝ ΣΠΟΥΔΩΝ</t>
  </si>
  <si>
    <t>ΤΜΗΜΑ ΕΠΙΚΟΙΝΩΝΙΑΣ ΚΑΙ ΜΕΣΩΝ ΜΑΖΙΚΗΣ ΕΝΗΜΕΡΩΣΗΣ</t>
  </si>
  <si>
    <t>ΤΜΗΜΑ ΚΟΙΝΩΝΙΟΛΟΓΙΑΣ</t>
  </si>
  <si>
    <t>ΤΜΗΜΑ ΔΙΟΙΚΗΣΗΣ ΕΠΙΧΕΙΡΗΣΕΩΝ ΚΑΙ ΟΡΓΑΝΙΣΜΩΝ</t>
  </si>
  <si>
    <t>ΤΜΗΜΑ ΔΙΑΧΕΙΡΙΣΗΣ ΛΙΜΕΝΩΝ ΚΑΙ ΝΑΥΤΙΛΙΑΣ (ΨΑΧΝΑ)</t>
  </si>
  <si>
    <t>ΤΜΗΜΑ ΨΗΦΙΑΚΩΝ ΤΕΧΝΩΝ ΚΑΙ ΚΙΝΗΜΑΤΟΓΡΑΦΟΥ (ΨΑΧΝΑ)</t>
  </si>
  <si>
    <t>ΤΜΗΜΑ ΦΙΛΟΛΟΓΙΑΣ</t>
  </si>
  <si>
    <t>ΠΡΟΓΡΑΜΜΑ ΣΠΟΥΔΩΝ ΦΙΛΟΣΟΦΙΑΣ, ΠΑΙΔΑΓΩΓΙΚΗΣ ΚΑΙ ΨΥΧΟΛΟΓΙΑΣ</t>
  </si>
  <si>
    <t>ΠΑΙΔΑΓΩΓΙΚΟ ΤΜΗΜΑ ΔΕΥΤΕΡΟΒΑΘΜΙΑΣ ΕΚΠΑΙΔΕΥΣΗΣ</t>
  </si>
  <si>
    <t xml:space="preserve">ΤΜΗΜΑ ΦΙΛΟΣΟΦΙΑΣ  </t>
  </si>
  <si>
    <t>ΤΜΗΜΑ ΨΥΧΟΛΟΓΙΑΣ</t>
  </si>
  <si>
    <t>ΤΜΗΜΑ ΑΓΓΛΙΚΗΣ ΓΛΩΣΣΑΣ ΚΑΙ ΦΙΛΟΛΟΓΙΑΣ</t>
  </si>
  <si>
    <t>ΤΜΗΜΑ ΓΑΛΛΙΚΗΣ ΓΛΩΣΣΑΣ ΚΑΙ ΦΙΛΟΛΟΓΙΑΣ</t>
  </si>
  <si>
    <t>ΤΜΗΜΑ ΓΕΡΜΑΝΙΚΗΣ ΓΛΩΣΣΑΣ ΚΑΙ ΦΙΛΟΛΟΓΙΑΣ</t>
  </si>
  <si>
    <t>ΤΜΗΜΑ ΙΣΠΑΝΙΚΗΣ ΓΛΩΣΣΑΣ ΚΑΙ ΦΙΛΟΛΟΓΙΑΣ</t>
  </si>
  <si>
    <t>ΤΜΗΜΑ ΙΤΑΛΙΚΗΣ ΓΛΩΣΣΑΣ ΚΑΙ ΦΙΛΟΛΟΓΙΑΣ</t>
  </si>
  <si>
    <t>ΤΜΗΜΑ ΘΕΑΤΡΙΚΩΝ ΣΠΟΥΔΩΝ</t>
  </si>
  <si>
    <t>ΤΜΗΜΑ ΡΩΣΙΚΗΣ ΓΛΩΣΣΑΣ ΚΑΙ ΦΙΛΟΛΟΓΙΑΣ ΚΑΙ ΣΛΑΒΙΚΩΝ ΣΠΟΥΔΩΝ</t>
  </si>
  <si>
    <t>ΞΕΝΟΓΛΩΣΣΟ BA PROGRAM IN THE ARCHAEOLOGY, HISTORY AND LITERATURE OF THE ANCIENT GREECE</t>
  </si>
  <si>
    <t>_</t>
  </si>
  <si>
    <t>ΤΜΗΜΑ ΦΥΣΙΚΗΣ</t>
  </si>
  <si>
    <t>ΤΜΗΜΑ ΧΗΜΕΙΑΣ</t>
  </si>
  <si>
    <t>ΤΜΗΜΑ ΜΑΘΗΜΑΤΙΚΩΝ</t>
  </si>
  <si>
    <t>ΤΜΗΜΑ ΒΙΟΛΟΓΙΑΣ</t>
  </si>
  <si>
    <t>ΤΜΗΜΑ ΓΕΩΛΟΓΙΑΣ ΚΑΙ ΓΕΩΠΕΡΙΒΑΛΛΟΝΤΟΣ</t>
  </si>
  <si>
    <t>ΤΜΗΜΑ ΠΛΗΡΟΦΟΡΙΚΗΣ KAI ΤΗΛΕΠΙΚΟΙΝΩΝΙΩΝ</t>
  </si>
  <si>
    <t>ΤΜΗΜΑ ΙΣΤΟΡΙΑΣ ΚΑΙ ΦΙΛΟΣΟΦΙΑΣ ΤΗΣ ΕΠΙΣΤΗΜΗΣ</t>
  </si>
  <si>
    <t>ΤΜΗΜΑ ΑΕΡΟΔΙΑΣΤΗΜΙΚΗΣ ΕΠΙΣΤΗΜΗΣ ΚΑΙ ΤΕΧΝΟΛΟΓΙΑΣ (ΨΑΧΝΑ)</t>
  </si>
  <si>
    <t>ΤΜΗΜΑ ΤΕΧΝΟΛΟΓΙΩΝ ΨΗΦΙΑΚΗΣ ΒΙΟΜΗΧΑΝΙΑΣ (ΨΑΧΝΑ)</t>
  </si>
  <si>
    <t>ΞΕΝΟΓΛΩΣΣΟ MEDICAL DEGREE ENGLISH PROGRAM</t>
  </si>
  <si>
    <t>ΤΜΗΜΑ ΝΟΣΗΛΕΥΤΙΚΗΣ</t>
  </si>
  <si>
    <t>ΤΜΗΜΑ ΕΚΠΑΙΔΕΥΣΗΣ ΚΑΙ ΑΓΩΓΗΣ ΣΤΗΝ ΠΡΟΣΧΟΛΙΚΗ ΗΛΙΚΙΑ</t>
  </si>
  <si>
    <t>ΣΧΟΛΗ ΕΠΙΣΤΗΜΩΝ ΑΓΩΓΗΣ</t>
  </si>
  <si>
    <t>ΤΜΗΜΑ ΕΠΙΣΤΗΜΗΣ ΦΥΣΙΚΗΣ ΑΓΩΓΗΣ ΚΑΙ ΑΘΛΗΤΙΣΜΟΥ</t>
  </si>
  <si>
    <t>ΤΜΗΜΑ ΑΓΡΟΤΙΚΗΣ ΑΝΑΠΤΥΞΗΣ, ΑΓΡΟΔΙΑΤΡΟΦΗΣ ΚΑΙ ΔΙΑΧΕΙΡΙΣΗΣ ΦΥΣΙΚΩΝ ΠΟΡΩΝ (ΨΑΧΝΑ)</t>
  </si>
  <si>
    <t>ΣΧΟΛΗ ΑΓΡΟΤΙΚΗΣ ΑΝΑΠΤΥΞΗΣ, ΔΙΑΤΡΟΦΗΣ ΚΑΙ ΑΕΙΦΟΡΙΑΣ</t>
  </si>
  <si>
    <t>ΠΡΟΓΡΑΜΜΑΤΑ ΣΠΟΥΔΩΝ πρώην ΤΕΙ ΣΤ. ΕΛΛΑΔΑΣ (ένταξη στο ΕΚΠΑ Ν. 4589/2019)</t>
  </si>
  <si>
    <t>ΗΛΕΚΤΡΟΛΟΓΩΝ ΜΗΧΑΝΙΚΩΝ ΤΕ</t>
  </si>
  <si>
    <t>ΜΗΧΑΝΙΚΩΝ ΑΥΤΟΜΑΤΙΣΜΟΥ ΤΕ</t>
  </si>
  <si>
    <t>ΜΗΧΑΝΟΛΟΓΩΝ ΜΗΧΑΝΙΚΩΝ ΤΕ</t>
  </si>
  <si>
    <t>ΜΗΧΑΝΙΚΩΝ ΤΕΧΝΟΛΟΓΙΑΣ ΑΕΡΟΣΚΑΦΩΝ ΤΕ</t>
  </si>
  <si>
    <t>Αριθμός νεοεγγραφέντων φοιτητών στο Α΄ έτος</t>
  </si>
  <si>
    <t>ΕΘΝΙΚΟ ΚΑΙ ΚΑΠΟΔΙΣΤΡΙΑΚΟ ΠΑΝΕΠΙΣΤΗΜΙΟ ΑΘΗΝΩΝ</t>
  </si>
  <si>
    <t>ΤΜΗΜΑ ΙΣΤΟΡΙΑΣ ΚΑΙ ΑΡΧΑΙΟΛΟΓΙΑΣ</t>
  </si>
  <si>
    <t>ΣΧΟΛΗ ΕΠΙΣΤΗΜΗΣ ΦΥΣΙΚΗΣ ΑΓΩΓΗΣ ΚΑΙ ΑΘΛΗΤΙΣΜΟΥ</t>
  </si>
  <si>
    <t>ΣΥΝΟΛΑ</t>
  </si>
  <si>
    <t>Ελληνικό Μεσογειακό Πανεπιστήμιο</t>
  </si>
  <si>
    <t>Γεωπονικών Επιστημών</t>
  </si>
  <si>
    <t>Τμήμα Γεωπονίας</t>
  </si>
  <si>
    <t>Επιστημών Διοίκησης και Οικονομίας</t>
  </si>
  <si>
    <t>Τμήμα Διοίκησης Επιχειρήσεων και Τουρισμού</t>
  </si>
  <si>
    <t>Τμήμα Διοικητικής Επιστήμης και Τεχνολογίας</t>
  </si>
  <si>
    <t>Τμήμα Λογιστικής και Χρηματοοικονομικής</t>
  </si>
  <si>
    <t>Επιστημών Υγείας</t>
  </si>
  <si>
    <t>Τμήμα Κοινωνικής Εργασίας</t>
  </si>
  <si>
    <t>Τμήμα Νοσηλευτικής</t>
  </si>
  <si>
    <t>Τμήμα Επιστημών Διατροφής και Διαιτολογίας</t>
  </si>
  <si>
    <t>Μηχανικών</t>
  </si>
  <si>
    <t>Τμήμα Ηλεκτρολόγων Μηχανικών και Μηχανικών Υπολογιστών</t>
  </si>
  <si>
    <t>Τμήμα Μηχανολόγων Μηχανικών</t>
  </si>
  <si>
    <t>Τμήμα Ηλεκτρονικών Μηχανικών</t>
  </si>
  <si>
    <t>Μουσικής και Οπτοακουστικών Τεχνολογιών</t>
  </si>
  <si>
    <t>Τμήμα Μουσικής Τεχνολογίας και Ακουστικής</t>
  </si>
  <si>
    <t>ΠΟΛΙΤΙΚΟΙ ΜΗΧΑΝΙΚΟΙ</t>
  </si>
  <si>
    <t>ΜΗΧΑΝΟΛΟΓΟΙ ΜΗΧΑΝΙΚΟΙ</t>
  </si>
  <si>
    <t>ΗΛΕΚΤΡΟΛΟΓΟΙ ΜΗΧΑΝΙΚΟΙ &amp; ΜΗΧΑΝΙΚΟΙ ΥΠΟΛΟΓΙΣΤΩΝ</t>
  </si>
  <si>
    <t>ΑΡΙΧΤΕΚΤΟΝΕΣ ΜΗΧΑΝΙΚΟΙ</t>
  </si>
  <si>
    <t>ΧΗΜΙΚΟΙ ΜΗΧΑΝΙΚΟΙ</t>
  </si>
  <si>
    <t xml:space="preserve">ΑΓΡΟΝΟΜΟΙ &amp; ΤΟΠΟΓΡΑΦΟΙ ΜΗΧΑΝΙΚΟΙ - ΜΗΧΑΝΙΚΟΙ  ΓΕΩΠΛΗΡΟΦΟΡΙΚΗΣ </t>
  </si>
  <si>
    <t>ΜΕΤΑΛΛΕΙΟΛΟΓΟΙ -ΜΕΤΑΛΛΟΥΡΓΟΙ  ΜΗΧΑΝΙΚΟΙ</t>
  </si>
  <si>
    <t>ΝΑΥΠΗΓΟΙ ΜΗΧΑΝΟΛΟΓΟΙ ΜΗΧΑΝΙΚΟΙ</t>
  </si>
  <si>
    <t>ΕΦΑΡΜΟΣΜΕΝΩΝ ΜΑΘΗΜΑΤΙΚΩΝ &amp; ΦΥΣΙΚΩΝ ΕΠΙΣΤΗΜΩΝ</t>
  </si>
  <si>
    <t>EΘΝΙΚΟ  ΜΕΤΣΟΒΙΟ ΠΟΛΥΤΕΧΝΕΙΟ -  ΑΠΟΓΡΑΦΙΚΗ ΕΡΕΥΝΑ ΦΟΙΤΗΤΩΝ ΑΚΑΔΗΜΑΪΚΟΥ ΕΤΟΥΣ 2022-2023</t>
  </si>
  <si>
    <t xml:space="preserve">ΣΧΟΛΕΣ  ΕΜΠ </t>
  </si>
  <si>
    <t>ΙΟΝΙΟ ΠΑΝΕΠΙΣΤΗΜΙΟ</t>
  </si>
  <si>
    <t>ΕΠΙΣΤΗΜΗ ΤΗΣ ΠΛΗΡΟΦΟΡΙΑΣ ΚΑΙ ΠΛΗΡΟΦΟΡΙΚΗΣ</t>
  </si>
  <si>
    <t>ΨΗΦΙΑΚΩΝ ΜΕΣΩΝ &amp; ΕΠΙΚΟΙΝΩΝΙΑΣ</t>
  </si>
  <si>
    <t>ΤΟΥΡΙΣΜΟΥ</t>
  </si>
  <si>
    <t>ΠΕΡΙΒΑΛΛΟΝΤΟΣ</t>
  </si>
  <si>
    <t>ΕΠΙΣΤΗΜΗΣ ΚΑΙ ΤΕΧΝΟΛΟΓΙΑΣ ΤΡΟΦΙΜΩΝ</t>
  </si>
  <si>
    <t xml:space="preserve">ΜΟΥΣΙΚΗΣ ΚΑΙ ΟΠΤΙΚΟΑΚΟΥΣΤΙΚΩΝ ΤΕΧΝΩΝ </t>
  </si>
  <si>
    <t>ΕΘΝΟΜΟΥΣΙΚΟΛΟΓΙΑΣ</t>
  </si>
  <si>
    <t xml:space="preserve">ΑΝΘΡΩΠΙΣΤΙΚΩΝ ΕΠΙΣΤΗΜΩΝ </t>
  </si>
  <si>
    <t>ΞΕΝΩΝ ΓΛΩΣΣΩΝ ΜΕΤΑΦΡΑΣΗΣ ΚΑΙ ΔΙΕΡΜΗΝΕΙΑΣ</t>
  </si>
  <si>
    <t>ΠΕΡΙΦΕΡΕΙΑΚΗΣ ΑΝΑΠΤΥΞΗΣ</t>
  </si>
  <si>
    <t>ΙΣΤΟΡΙΑΣ</t>
  </si>
  <si>
    <t>ΑΡΧΕΙΟΝΟΜΙΑΣ, ΒΙΒΛΙΟΘΗΚΟΝΟΜΙΑΣ ΚΑΙ ΜΟΥΣΕΙΟΛΟΓΙΑΣ</t>
  </si>
  <si>
    <t>ΤΗΧΕΙ</t>
  </si>
  <si>
    <t>ΟΙΚΟΝΟΜΙΚΟ ΠΑΝΕΠΙΣΤΗΜΙΟ ΑΘΗΝΩΝ</t>
  </si>
  <si>
    <t>ΔΙΕΘΝΩΝ ΚΑΙ ΕΥΡΩΠΑΪΚΩΝ ΟΙΚΟΝΟΜΙΚΩΝ ΣΠΟΥΔΩΝ</t>
  </si>
  <si>
    <t>ΟΙΚΟΝΟΜΙΚΗΣ ΕΠΙΣΤΗΜΗΣ</t>
  </si>
  <si>
    <t>ΔΙΟΙΚΗΣΗΣ ΕΠΙΧΕΙΡΗΣΕΩΝ</t>
  </si>
  <si>
    <t>ΟΡΓΑΝΩΣΗΣ ΚΑΙ ΔΙΟΙΚΗΣΗΣ ΕΠΙΧΕΙΡΗΣΕΩΝ</t>
  </si>
  <si>
    <t>ΜΑΡΚΕΤΙΝΓΚ ΚΑΙ ΕΠΙΚΟΙΝΩΝΙΑΣ</t>
  </si>
  <si>
    <t>ΕΠΙΣΤΗΜΩΝ &amp; ΤΕΝΟΛΟΓΙΑΣ ΤΗΣ ΠΛΗΡΟΦΟΡΙΑΣ</t>
  </si>
  <si>
    <t>ΣΤΑΤΙΣΤΙΚΗΣ</t>
  </si>
  <si>
    <t> </t>
  </si>
  <si>
    <t>ΠΑΔΑ</t>
  </si>
  <si>
    <t>ΔΙΟΙΚΗΤΙΚΩΝ, ΟΙΚΟΝΟΜΙΚΩΝ &amp; ΚΟΙΝΩΝΙΚΩΝ ΕΠΙΣΤΗΜΩΝ</t>
  </si>
  <si>
    <t>ΑΡΧΕΙΟΝΟΜΙΑΣ, ΒΙΒΛΙΟΘΗΚΟΝΟΜΙΑΣ ΚΑΙ ΣΥΣΤΗΜΑΤΩΝ ΠΛΗΡΟΦΟΡΗΣΗΣ</t>
  </si>
  <si>
    <t xml:space="preserve">ΔΙΟΙΚΗΣΗΣ ΕΠΙΧΕΙΡΗΣΕΩΝ </t>
  </si>
  <si>
    <t>ΔΙΟΙΚΗΣΗΣ ΤΟΥΡΙΣΜΟΥ</t>
  </si>
  <si>
    <t>ΑΓΩΓΗΣ ΚΑΙ ΦΡΟΝΤΙΔΑΣ ΣΤΗΝ ΠΡΩΙΜΗ ΠΑΙΔΙΚΗ ΗΛΙΚΙΑ</t>
  </si>
  <si>
    <t>ΜΗΧΑΝΙΚΩΝ</t>
  </si>
  <si>
    <t>ΗΛΕΚΤΡΟΛΟΓΩΝ ΚΑΙ ΗΛΕΚΤΡΟΝΙΚΩΝ ΜΗΧΑΝΙΚΩΝ</t>
  </si>
  <si>
    <t>ΜΗΧΑΝΙΚΩΝ ΒΙΟΪΑΤΡΙΚΗΣ</t>
  </si>
  <si>
    <t>ΜΗΧΑΝΙΚΩΝ ΒΙΟΜΗΧΑΝΙΚΗΣ ΣΧΕΔΙΑΣΗΣ ΚΑΙ ΠΑΡΑΓΩΓΗΣ</t>
  </si>
  <si>
    <t>ΜΗΧΑΝΙΚΩΝ ΠΛΗΡΟΦΟΡΙΚΗΣ ΚΑΙ ΥΠΟΛΟΓΙΣΤΩΝ</t>
  </si>
  <si>
    <t>ΜΗΧΑΝΙΚΩΝ ΤΟΠΟΓΡΑΦΙΑΣ ΚΑΙ ΓΕΩΠΛΗΡΟΦΟΡΙΚΗΣ</t>
  </si>
  <si>
    <t>ΝΑΥΠΗΓΩΝ ΜΗΧΑΝΙΚΩΝ</t>
  </si>
  <si>
    <t>ΕΦΑΡΜΟΣΜΕΝΩΝ ΤΕΧΝΩΝ ΚΑΙ ΠΟΛΙΤΙΣΜΟΥ</t>
  </si>
  <si>
    <t>ΓΡΑΦΙΣΤΙΚΗΣ ΚΑΙ ΟΠΤΙΚΗΣ ΕΠΙΚΟΙΝΩΝΙΑΣ</t>
  </si>
  <si>
    <t>ΕΣΩΤΕΡΙΚΗΣ ΑΡΧΙΤΕΚΤΟΝΙΚΗΣ</t>
  </si>
  <si>
    <t xml:space="preserve">ΣΥΝΤΗΡΗΣΗΣ ΑΡΧΑΙΟΤΗΤΩΝ ΚΑΙ ΕΡΓΩΝ ΤΕΧΝΗΣ </t>
  </si>
  <si>
    <t>ΦΩΤΟΓΡΑΦΙΑΣ ΚΑΙ ΟΠΤΙΚΟΑΚΟΥΣΤΙΚΩΝ ΤΕΧΝΩΝ</t>
  </si>
  <si>
    <t>ΕΠΙΣΤΗΜΩΝ ΤΡΟΦΙΜΩΝ</t>
  </si>
  <si>
    <t>ΕΠΙΣΤΗΜΩΝ ΟΙΝΟΥ, ΑΜΠΕΛΟΥ ΚΑΙ ΠΟΤΩΝ</t>
  </si>
  <si>
    <t>ΕΠΙΣΤΗΜΩΝ ΥΓΕΙΑΣ ΚΑΙ ΠΡΟΝΟΙΑΣ</t>
  </si>
  <si>
    <t>ΒΙΟΪΑΤΡΙΚΩΝ ΕΠΙΣΤΗΜΩΝ</t>
  </si>
  <si>
    <t>ΕΡΓΟΘΕΡΑΠΕΙΑΣ</t>
  </si>
  <si>
    <t>ΜΑΙΕΥΤΙΚΗΣ</t>
  </si>
  <si>
    <t>ΝΟΣΗΛΕΥΤΙΚΗΣ</t>
  </si>
  <si>
    <t>ΦΥΣΙΚΟΘΕΡΑΠΕΙΑΣ</t>
  </si>
  <si>
    <t>ΔΗΜΟΣΙΑΣ ΥΓΕΙΑΣ</t>
  </si>
  <si>
    <t>ΔΗΜΟΣΙΑΣ ΚΑΙ ΚΟΙΝΟΤΙΚΗΣ ΥΓΕΙΑΣ</t>
  </si>
  <si>
    <t xml:space="preserve">ΣΥΝΟΛΑ </t>
  </si>
  <si>
    <t>ΕΛΛΗΝΙΚΟ ΜΕΣΟΓΕΙΑΚΟ ΠΑΝΕΠΙΣΤΗΜΙΟ</t>
  </si>
  <si>
    <t>Νοσηλευτικής</t>
  </si>
  <si>
    <t>ΠΑΝΕΠΙΣΤΗΜΙΟ ΔΥΤΙΚΗΣ ΑΤΤΙΚΗΣ</t>
  </si>
  <si>
    <t>ΠΑΝΕΠΙΣΤΗΜΙΟ ΑΙΓΑΙΟΥ</t>
  </si>
  <si>
    <t>ΤΜΗΜΑ ΜΗΧΑΝΙΚΩΝ ΟΙΚΟΝΟΜΙΑΣ ΚΑΙ ΔΙΟΙΚΗΣΗΣ</t>
  </si>
  <si>
    <t>ΤΜΗΜΑ ΜΗΧΑΝΙΚΩΝ ΠΛΗΡΟΦΟΡΙΑΚΩΝ ΚΑΙ ΕΠΙΚΟΙΝΩΝΙΑΚΩΝ ΣΥΣΤΗΜΑΤΩΝ</t>
  </si>
  <si>
    <t>ΤΜΗΜΑ ΜΗΧΑΝΙΚΩΝ ΣΧΕΔΙΑΣΗΣ ΠΡΟΪΟΝΤΩΝ ΚΑΙ ΣΥΣΤΗΜΑΤΩΝ</t>
  </si>
  <si>
    <t>ΣΧΟΛΗ ΑΝΘΡΩΠΙΣΤΙΚΩΝ ΕΠΙΣΤΗΜΩΝ</t>
  </si>
  <si>
    <t>ΤΜΗΜΑ ΕΠΙΣΤΗΜΩΝ ΤΗΣ ΠΡΟΣΧΟΛΙΚΗΣ ΑΓΩΓΗΣ ΚΑΙ ΤΟΥ ΕΚΠΑΙΔΕΥΤΙΚΟΥ ΣΧΕΔΙΑΣΜΟΥ</t>
  </si>
  <si>
    <t>ΤΜΗΜΑ ΜΕΣΟΓΕΙΑΚΩΝ ΣΠΟΥΔΩΝ</t>
  </si>
  <si>
    <t>ΣΧΟΛΗ ΕΠΙΣΤΗΜΩΝ ΤΗΣ ΔΙΟΙΚΗΣΗΣ</t>
  </si>
  <si>
    <t>ΤΜΗΜΑ ΔΙΟΙΚΗΣΗΣ ΕΠΙΧΕΙΡΗΣΕΩΝ</t>
  </si>
  <si>
    <t>ΤΜΗΜΑ ΝΑΥΤΙΛΙΑΣ ΚΑΙ ΕΠΙΧΕΙΡΗΜΑΤΙΚΩΝ ΥΠΗΡΕΣΙΩΝ</t>
  </si>
  <si>
    <t>ΤΜΗΜΑ ΟΙΚΟΝΟΜΙΚΗΣ ΚΑΙ ΔΙΟΙΚΗΣΗΣ ΤΟΥΡΙΣΜΟΥ</t>
  </si>
  <si>
    <t>ΤΜΗΜΑ ΣΤΑΤΙΣΤΙΚΗΣ ΚΑΙ ΑΝΑΛΟΓΙΣΤΙΚΩΝ-ΧΡΗΜΑΤΟΟΙΚΟΝΟΜΙΚΩΝ ΜΑΘΗΜΑΤΙΚΩΝ</t>
  </si>
  <si>
    <t>ΣΧΟΛΗ ΚΟΙΝΩΝΙΚΩΝ ΕΠΙΣΤΗΜΩΝ</t>
  </si>
  <si>
    <t>ΤΜΗΜΑ ΓΕΩΓΡΑΦΙΑΣ</t>
  </si>
  <si>
    <t>ΤΜΗΜΑ ΚΟΙΝΩΝΙΚΗΣ ΑΝΘΡΩΠΟΛΟΓΙΑΣ ΚΑΙ ΙΣΤΟΡΙΑΣ</t>
  </si>
  <si>
    <t>ΤΜΗΜΑ ΠΟΛΙΤΙΣΜΙΚΗΣ ΤΕΧΝΟΛΟΓΙΑΣ ΚΑΙ ΕΠΙΚΟΙΝΩΝΙΑΣ</t>
  </si>
  <si>
    <t>ΣΧΟΛΗ ΠΕΡΙΒΑΛΛΟΝΤΟΣ</t>
  </si>
  <si>
    <t>ΤΜΗΜΑ ΕΠΙΣΤΗΜΗΣ ΤΡΟΦΙΜΩΝ ΚΑΙ ΔΙΑΤΡΟΦΗΣ</t>
  </si>
  <si>
    <t>ΤΜΗΜΑ ΠΕΡΙΒΑΛΛΟΝΤΟΣ</t>
  </si>
  <si>
    <t>ΤΜΗΜΑ ΩΚΕΑΝΟΓΡΑΦΙΑΣ ΚΑΙ ΘΑΛΑΣΣΙΩΝ ΒΙΟΕΠΙΣΤΗΜΩΝ</t>
  </si>
  <si>
    <t>ΣΥΝΟΛΟ ΙΔΡΥΜΑΤΟΣ</t>
  </si>
  <si>
    <t>ΠΑΤΡΙΑΡΧΙΚΗ ΑΝΩΤΑΤΗ ΕΚΚΛΗΣΙΑΣΤΙΚΗ ΑΚΑΔΗΜΙΑ ΚΡΗΤΗΣ</t>
  </si>
  <si>
    <t>ΠΙΣ</t>
  </si>
  <si>
    <t>ΠΕΜΨ</t>
  </si>
  <si>
    <t>ΠΡΟΓΡΑΜΜΑ ΙΕΡΑΤΙΚΩΝ ΣΠΟΥΔΩΝ</t>
  </si>
  <si>
    <t>ΠΡΟΓΡΑΜΜΑ ΕΚΚΛ/ΚΗΣ ΜΟΥΣΙΚΗΣ ΚΑΙ ΨΑΛΤΙΚΗΣ</t>
  </si>
  <si>
    <t>ΠΑΤΡΙΑΡΧΙΚΗ ΑΝΩΤΑΤΗ  ΕΚΚΛΗΣΙΑΣΤΙΚΗ ΑΚΑΔΗΜΙΑ ΚΡΗΤΗΣ</t>
  </si>
  <si>
    <t>ΠΑΝΕΠΙΣΤΗΜΙΟ ΙΩΑΝΝΙΝΩΝ</t>
  </si>
  <si>
    <t>ΦΙΛΟΣΟΦΙΚΗ</t>
  </si>
  <si>
    <t>ΦΙΛΟΣΟΦΙΑΣ</t>
  </si>
  <si>
    <t>ΒΙΟΛΟΓΙΚΩΝ ΕΦΑΡΜΟΓΩΝ ΚΑΙ ΤΕΧΝΟΛΟΓΙΩΝ</t>
  </si>
  <si>
    <t>ΝΟΣΗΛΕΥΤΙΚΗΣ: ΠΠΣ ΠΕ</t>
  </si>
  <si>
    <t>ΝΟΣΗΛΕΥΤΙΚΗΣ: ΠΠΣ ΤΕ</t>
  </si>
  <si>
    <t>ΕΠΙΣΤΗΜΩΝ  ΥΓΕΙΑΣ</t>
  </si>
  <si>
    <t>ΛΟΓΟΘΕΡΑΠΕΙΑΣ: ΠΠΣ ΛΟΓΟΘΕΡΑΠΕΙΑΣ ΠΕ</t>
  </si>
  <si>
    <t>ΛΟΓΟΘΕΡΑΠΕΙΑΣ: ΠΠΣ ΛΟΓΟΘΕΡΑΠΕΙΑΣ ΤΕ</t>
  </si>
  <si>
    <t>ΕΠΙΣΤΗΜΩΝ ΑΓΩΓΗΣ</t>
  </si>
  <si>
    <t>ΠΑΙΔΑΓΩΓΙΚΟ ΤΜΗΜΑ ΝΗΠΙΑΓΩΓΩΝ</t>
  </si>
  <si>
    <t>ΟΙΚΟΝΟΜΙΚΩΝ ΚΑΙ ΔΙΟΙΚΗΤΙΚΩΝ ΕΠΙΣΤΗΜΩΝ</t>
  </si>
  <si>
    <t>ΛΟΓΙΣΤΙΚΗΣ ΚΑΙ ΧΡΗΜΑΤΟΟΙΚΟΝΟΜΙΚΗΣ (ΠΠΣ ΤΕ: ΔΙΟΙΚΗΣΗ ΕΠΙΧΕΙΡΗΣΕΩΝ ΗΓΟΥΜΕΝΙΤΣΑ)</t>
  </si>
  <si>
    <t>ΛΟΓΙΣΤΙΚΗΣ ΚΑΙ ΧΡΗΜΑΤΟΟΙΚΟΝΟΜΙΚΗΣ  (ΠΠΣ ΤΕ: ΔΙΟΙΚΗΣΗ ΤΟΥΡΙΣΤΙΚΩΝ  ΕΠΙΧΕΙΡΗΣΕΩΝ ΚΑΙ ΕΠΙΧΕΙΡΗΣΕΩΝ ΦΙΛΟΞΕΝΙΑΣ ΗΓΟΥΜΕΝΙΤΣΑ)</t>
  </si>
  <si>
    <t>ΚΑΛΩΝ ΤΕΧΝΩΝ</t>
  </si>
  <si>
    <t>ΕΙΚΑΣΤΙΚΩΝ ΤΕΧΝΩΝ ΚΑΙ ΕΠΙΣΤΗΜΩΝ ΤΗΣ ΤΕΧΝΗΣ</t>
  </si>
  <si>
    <t>ΜΗΧΑΝΙΚΩΝ ΕΠΙΣΤΗΜΗΣ ΥΛΙΚΩΝ</t>
  </si>
  <si>
    <t>ΜΗΧΑΝΙΚΩΝ ΗΛΕΚΤΡΟΝΙΚΩΝ ΥΠΟΛΟΓΙΣΤΩΝ ΚΑΙ ΠΛΗΡΟΦΟΡΙΚΗΣ</t>
  </si>
  <si>
    <t>ΠΛΗΡΟΦΟΡΙΚΗΣ ΚΑΙ ΤΗΛΕΠΙΚΟΙΝΩΝΙΩΝ</t>
  </si>
  <si>
    <t>ΓΕΩΠΟΝΙΑΣ : ΠΠΣ ΓΕΩΠΟΝΙΑΣ ΠΕ</t>
  </si>
  <si>
    <t>ΓΕΩΠΟΝΙΑΣ: ΠΠΣ ΤΕΧΝΟΛΟΓΩΝ ΓΕΩΠΟΝΙΑΣ ΤΕ</t>
  </si>
  <si>
    <t>ΤΜΗΜΑ ΑΓΩΓΗΣ ΚΑΙ ΦΡΟΝΤΙΔΑΣ ΣΤΗΝ ΠΡΩΙΜΗ ΠΑΙΔΙΚΗ ΗΛΙΚΙΑ (ΤΑΦΠΠΗ):  ΠΠΣ ΠΕ</t>
  </si>
  <si>
    <t xml:space="preserve">ΤΑΦΠΠΗ: ΠΠΣ ΠΡΟΣΧΟΛΙΚΗΣ ΑΓΩΓΗΣ ΤΕΙ </t>
  </si>
  <si>
    <t>ΤΜΗΜΑ ΜΟΥΣΙΚΩΝ ΣΠΟΥΔΩΝ : ΠΠΣ ΠΕ</t>
  </si>
  <si>
    <t>ΤΜΗΜΑ ΜΟΥΣΙΚΩΝ ΣΠΟΥΔΩΝ: ΠΠΣ ΤΕ ΛΑΪΚΗΣ ΚΑΙ ΠΑΡΑΔΟΣΙΑΚΗΣ ΜΟΥΣΙΚΗΣ</t>
  </si>
  <si>
    <t>ΑΠΟΓΡΑΦΙΚΗ ΕΡΕΥΝΑ ΦΟΙΤΗΤΩΝ ΑΚΑΔΗΜΑΪΚΟΥ ΕΤΟΥΣ 2022-2023 - ΠΑΝΕΠΙΣΤΗΜΙΟ ΔΥΤΙΚΗΣ ΜΑΚΕΔΟΝΙΑΣ</t>
  </si>
  <si>
    <t>ΠΑΝΕΠΙΣΤΗΜΙΟ ΔΥΤΙΚΗΣ ΜΑΚΕΔΟΝΙΑΣ</t>
  </si>
  <si>
    <t xml:space="preserve">Τμήμα Μηχανολόγων Μηχανικών  </t>
  </si>
  <si>
    <t xml:space="preserve">Τμήμα Μηχανικών Ορυκτών Πόρων </t>
  </si>
  <si>
    <t xml:space="preserve">Τμήμα Μηχανικών Σχεδίασης Προϊόντων και Συστημάτων </t>
  </si>
  <si>
    <t>Τμήμα Χημικών Μηχανικών</t>
  </si>
  <si>
    <t xml:space="preserve">Τμήμα Περιφερειακής και Διασυνοριακής Ανάπτυξης </t>
  </si>
  <si>
    <t xml:space="preserve">Τμήμα Λογιστικής και Χρηματοοικονομικής </t>
  </si>
  <si>
    <t xml:space="preserve">Τμήμα Διεθνών και Ευρωπαϊκών Οικονομικών Σπουδών </t>
  </si>
  <si>
    <t xml:space="preserve">Τμήμα Οργάνωσης και Διοίκησης Επιχειρήσεων  </t>
  </si>
  <si>
    <t xml:space="preserve">Τμήμα Στατιστικής και Ασφαλιστικής Επιστήμης  </t>
  </si>
  <si>
    <t xml:space="preserve">Τμήμα Οικονομικών Επιστημών  </t>
  </si>
  <si>
    <t>ΚΟΙΝΩΝΙΚΩΝ ΚΑΙ ΑΝΘΡΩΠΙΣΤΙΚΩΝ ΕΠΙΣΤΗΜΩΝ</t>
  </si>
  <si>
    <t xml:space="preserve">Τμήμα Ψυχολογίας </t>
  </si>
  <si>
    <t xml:space="preserve">Παιδαγωγικό Τμήμα Νηπιαγωγών </t>
  </si>
  <si>
    <t xml:space="preserve">Παιδαγωγικό Τμήμα Δημοτικής Εκπαίδευσης </t>
  </si>
  <si>
    <t>Τμήμα Επικοινωνίας και Ψηφιακών Μέσων</t>
  </si>
  <si>
    <t>ΓΕΩΠΟΝΙΚΩΝ ΕΠΙΣΤΗΜΩΝ</t>
  </si>
  <si>
    <t>Τμήμα Πληροφορικής</t>
  </si>
  <si>
    <t>Τμήμα Μαθηματικών</t>
  </si>
  <si>
    <t>Τμήμα Μαιευτικής</t>
  </si>
  <si>
    <t>Τμήμα Εργοθεραπείας</t>
  </si>
  <si>
    <t>Τμήμα Εικαστικών και Εφαρμοσμένων Τεχνών</t>
  </si>
  <si>
    <t>ΠΑΛΙΑ ΠΡΟΓΡΑΜΜΑΤΑ ΣΠΟΥΔΩΝ ΤΟΥ ΠΡΩΗΝ ΤΕΙ ΔΥΤΙΚΗΣ ΜΑΚΕΔΟΝΙΑΣ</t>
  </si>
  <si>
    <t>Τμήμα Μηχανικών Περιβάλλοντος &amp; Αντιρρύπανσης ΤΕ - Κατεύθυνσης Μηχανικών Γεωτεχνολογίας &amp; Περιβάλλοντος</t>
  </si>
  <si>
    <t>Τμήμα Μηχανικών Περιβάλλοντος &amp; Αντιρρύπανσης ΤΕ - Κατεύθυνσης Μηχανικών Αντιρρύπανσης</t>
  </si>
  <si>
    <t>Τμήμα Διεθνούς Εμπορίου ΤΕ</t>
  </si>
  <si>
    <t>Τμήμα Μηχανολόγων Μηχανικών &amp; Βιομηχανικού Σχεδιασμού ΤΕ - Κατεύθυνσης Μηχανολόγων Μηχανικών</t>
  </si>
  <si>
    <t>Τμήμα Μηχανολόγων Μηχανικών &amp; Βιομηχανικού Σχεδιασμού ΤΕ - Κατεύθυνσης Βιομηχανικού Σχεδιασμού</t>
  </si>
  <si>
    <t>Τμήμα Μηχανικών Πληροφορικής ΤΕ</t>
  </si>
  <si>
    <t>Τμήμα Ψηφιακών Μέσων και Επικοινωνίας ΤΕ</t>
  </si>
  <si>
    <t>Τμήματα Σχολής Γεωπονίας ΤΕ</t>
  </si>
  <si>
    <t>Τμήμα Διοίκησης Επιχειρήσεων ΤΕ-Κοζάνη</t>
  </si>
  <si>
    <t>Τμήμα Μαιευτικής ΤΕ</t>
  </si>
  <si>
    <t>Τμήμα Λογιστικής ΤΕ</t>
  </si>
  <si>
    <t>Τμήμα Χρηματοοικονομικών Εφαρμογών ΤΕ</t>
  </si>
  <si>
    <t>Τμήμα Λογιστικής και Χρηματοοικονομικής ΤΕ</t>
  </si>
  <si>
    <t>Τμήματα Διοίκησης Επιχειρήσεων ΤΕ- Γρεβενά</t>
  </si>
  <si>
    <t>Τμήμα Ηλεκτρολόγων Μηχανικών ΤΕ</t>
  </si>
  <si>
    <t>Πανεπιστήμιο Θεσσαλίας</t>
  </si>
  <si>
    <t>Πολυτεχνική</t>
  </si>
  <si>
    <t>Αρχιτεκτόνων Μηχανικών</t>
  </si>
  <si>
    <t>Βιοχημείας και Βιοτεχνολογίας</t>
  </si>
  <si>
    <t>Γεωπονίας, Ιχθυολογίας και Υδάτινου Περιβάλλοντος</t>
  </si>
  <si>
    <t>Γεωπονίας, Φυτικής Παραγωγής και Αγροτικού Περιβάλλοντος</t>
  </si>
  <si>
    <t>Επιστημών Φυσικής Αγωγής, Αθλητισμού και Διαιτολογίας</t>
  </si>
  <si>
    <t>Επιστήμης Φυσικής Αγωγής και Αθλητισμού</t>
  </si>
  <si>
    <t>Ηλεκτρολόγων Μηχανικών και Μηχανικών Υπολογιστών</t>
  </si>
  <si>
    <t>Ιατρικής</t>
  </si>
  <si>
    <t>Ανθρωπιστικών και Κοινωνικών Επιστημών</t>
  </si>
  <si>
    <t>Ιστορίας, Αρχαιολογίας και Κοινωνικής Ανθρωπολογίας</t>
  </si>
  <si>
    <t>Κτηνιατρικής</t>
  </si>
  <si>
    <t>Μηχανικών Χωροταξίας, Πολεοδομίας και Περιφερειακής Ανάπτυξης</t>
  </si>
  <si>
    <t>Μηχανολόγων Μηχανικών</t>
  </si>
  <si>
    <t>Οικονομικών και Διοικητικών Επιστημών</t>
  </si>
  <si>
    <t>Οικονομικών Επιστημών</t>
  </si>
  <si>
    <t>Παιδαγωγικό Δημοτικής Εκπαίδευσης</t>
  </si>
  <si>
    <t>Παιδαγωγικό Ειδικής Αγωγής</t>
  </si>
  <si>
    <t>Παιδαγωγικό Προσχολικής Εκπαίδευσης</t>
  </si>
  <si>
    <t>Θετικών Επιστημών</t>
  </si>
  <si>
    <t>Πληροφορικής και Τηλεπικοινωνιών (πρώην Πληροφορικής)</t>
  </si>
  <si>
    <t>Πληροφορικής με Εφαρμογές στη Βιοϊατρική</t>
  </si>
  <si>
    <t>Πολιτικών Μηχανικών</t>
  </si>
  <si>
    <t>Πολιτισμού και Δημιουργικών Μέσων και Βιομηχανιών</t>
  </si>
  <si>
    <t>Γλωσσικών και Διαπολιτισμικών Σπουδών</t>
  </si>
  <si>
    <t>Λογιστικής και Χρηματοοικονομικής</t>
  </si>
  <si>
    <t>Διοίκησης Επιχειρήσεων</t>
  </si>
  <si>
    <t>Γεωπονίας - Αγροτεχνολογίας</t>
  </si>
  <si>
    <t>Επιστήμης Ζωικής Παραγωγής</t>
  </si>
  <si>
    <t>Δημόσιας και Ενιαίας Υγείας</t>
  </si>
  <si>
    <t>Φυσικοθεραπείας</t>
  </si>
  <si>
    <t>Τεχνολογίας</t>
  </si>
  <si>
    <t>Συστημάτων Ενέργειας</t>
  </si>
  <si>
    <t>Περιβάλλοντος</t>
  </si>
  <si>
    <t>Ψηφιακών Συστημάτων</t>
  </si>
  <si>
    <t>Επιστήμης Τροφίμων και Διατροφής</t>
  </si>
  <si>
    <t>Δασολογίας, Επιστημών Ξύλου και Σχεδιασμού</t>
  </si>
  <si>
    <t>Διαιτολογίας και Διατροφολογίας</t>
  </si>
  <si>
    <t>Φυσικής</t>
  </si>
  <si>
    <t>Μαθηματικών</t>
  </si>
  <si>
    <t>Πανεπιστήμιο Θεσσαλίας-Πρόγραμμα Σπουδών ΤΕΙ</t>
  </si>
  <si>
    <t>Συμβούλιο Ένταξης</t>
  </si>
  <si>
    <t>ΠΣ Δασοπονίας και Διαχείρισης Φυσικού Περιβάλλοντος ΤΕ (ΤΕΙ Θεσσαλίας)</t>
  </si>
  <si>
    <t>ΠΣ Διατροφής και Διαιτολογίας ΤΕ (ΤΕΙ Θεσσαλίας)</t>
  </si>
  <si>
    <t>ΠΣ Διοίκησης Επιχειρήσεων ΤΕ (ΤΕΙ Θεσσαλίας)</t>
  </si>
  <si>
    <t>ΠΣ Ηλεκτρολόγων Μηχανικών ΤΕ (ΤΕΙ Θεσσαλίας)</t>
  </si>
  <si>
    <t>ΠΣ Ηλεκτρονικών Μηχανικών ΤΕ (ΤΕΙ Στερεάς Ελλάδας)</t>
  </si>
  <si>
    <t>ΠΣ Λογιστικής και Χρηματοοικονομικής ΤΕ (ΤΕΙ Θεσσαλίας)</t>
  </si>
  <si>
    <t>ΠΣ Μηχανικών Πληροφορικής ΤΕ (ΤΕΙ Θεσσαλίας)</t>
  </si>
  <si>
    <t>ΠΣ Μηχανικών Πληροφορικής ΤΕ (ΤΕΙ Στερεάς Ελλάδας)</t>
  </si>
  <si>
    <t>ΠΣ Μηχανολόγων Μηχανικών ΤΕ (ΤΕΙ Θεσσαλίας)</t>
  </si>
  <si>
    <t>ΠΣ Νοσηλευτικής ΤΕ (ΤΕΙ Θεσσαλίας)</t>
  </si>
  <si>
    <t>ΠΣ Νοσηλευτικής ΤΕ (ΤΕΙ Στερεάς Ελλάδας)</t>
  </si>
  <si>
    <t>ΠΣ Πολιτικών Μηχανικών ΤΕ (Λάρισα) (ΤΕΙ Θεσσαλίας)</t>
  </si>
  <si>
    <t>ΠΣ Πολιτικών Μηχανικών ΤΕ (Τρίκαλα) (ΤΕΙ Θεσσαλίας)</t>
  </si>
  <si>
    <t>ΠΣ Σχεδιασμού και Τεχνολογίας Ξύλου και Επίπλου ΤΕ (ΤΕΙ Θεσσαλίας)</t>
  </si>
  <si>
    <t>ΠΣ Τεχνολογίας Τροφίμων ΤΕ (ΤΕΙ Θεσσαλίας)</t>
  </si>
  <si>
    <t>ΠΣ Τεχνολόγων Γεωπόνων ΤΕ (ΤΕΙ Θεσσαλίας)</t>
  </si>
  <si>
    <t>ΠΣ Φυσικοθεραπείας ΤΕ (ΤΕΙ Στερεάς Ελλάδας)</t>
  </si>
  <si>
    <t>ΠΣ Ιατρικών Εργαστηρίων ΤΕ (ΤΕΙ Θεσσαλίας)</t>
  </si>
  <si>
    <t>ΠΑΝΕΠΙΣΤΗΜΙΟ ΚΡΗΤΗΣ</t>
  </si>
  <si>
    <t>ΠΑΙΔΑΓΩΓΙΚΟ ΤΜΗΜΑ ΠΡΟΣΧΟΛΙΚΗΣ ΕΚΠΑΙΔΕΥΣΗΣ</t>
  </si>
  <si>
    <t>ΘΕΤΙΚΩΝ ΚΑΙ ΤΕΧΝΟΛΟΓΙΚΩΝ ΕΠΙΣΤΗΜΩΝ</t>
  </si>
  <si>
    <t>ΜΑΘΗΜΑΤΙΚΩΝ &amp; ΕΦΑΡΜΟΣΜΕΝΩΝ ΜΑΘΗΜΑΤΙΚΩΝ (ΚΑΤΕΥΘΥΝΣΗ: ΜΑΘΗΜΑΤΙΚΑ)</t>
  </si>
  <si>
    <t>ΜΑΘΗΜΑΤΙΚΩΝ &amp; ΕΦΑΡΜΟΣΜΕΝΩΝ  ΜΑΘΗΜΑΤΙΚΩΝ (ΚΑΤΕΥΘΥΝΣΗ: ΕΦΑΡΜΟΣΜΕΝΑ ΜΑΘΗΜΑΤΙΚΑ)</t>
  </si>
  <si>
    <t>ΕΠΙΣΤΗΜΗΣ ΚΑΙ ΤΕΧΝΟΛΟΓΙΑΣ ΥΛΙΚΩΝ</t>
  </si>
  <si>
    <t>ΕΠΙΣΤΗΜΗΣ ΥΠΟΛΟΓΙΣΤΩΝ</t>
  </si>
  <si>
    <t>ΙΑΤΡΙΚΗ</t>
  </si>
  <si>
    <t>ΚΟΙΝΩΝΙΚΩΝ ΕΠΙΣΤΗΜΩΝ</t>
  </si>
  <si>
    <t>ΚΟΙΝΩΝΙΟΛΟΓΙΑΣ</t>
  </si>
  <si>
    <t>ΦΙΛΟΣΟΦΙΚΩΝ ΚΑΙ ΚΟΙΝΩΝΙΚΩΝ ΣΠΟΥΔΩΝ</t>
  </si>
  <si>
    <t>ΠΑΝΕΠΙΣΤΗΜΙΟ ΜΑΚΕΔΟΝΙΑΣ</t>
  </si>
  <si>
    <t>ΟΙΚΟΝΟΜΙΚΩΝ ΚΑΙ ΠΕΡΙΦΕΡΕΙΑΚΩΝ ΣΠΟΥΔΩΝ</t>
  </si>
  <si>
    <t>ΟΙΚΟΝΟΜΙΚΩΝ ΕΠΙΣΤΗΜΩΝ (ΟΕ)</t>
  </si>
  <si>
    <t>ΒΑΛΚΑΝΙΚΩΝ, ΣΛΑΒΙΚΩΝ ΚΑΙ ΑΝΑΤΟΛΙΚΩΝ ΣΠΟΥΔΩΝ (ΒΣΑΣ)</t>
  </si>
  <si>
    <t>ΕΠΙΣΤΗΜΩΝ ΔΙΟΙΚΗΣΗΣ ΕΠΙΧΕΙΡΗΣΕΩΝ</t>
  </si>
  <si>
    <t>ΟΡΓΑΝΩΣΗΣ ΚΑΙ ΔΙΟΙΚΗΣΗΣ ΕΠΙΧΕΙΡΗΣΕΩΝ (ΟΔΕ)</t>
  </si>
  <si>
    <t>ΛΟΓΙΣΤΙΚΗΣ ΚΑΙ ΧΡΗΜΑΤΟΟΙΚΟΝΟΜΙΚΗΣ (ΛΧ)</t>
  </si>
  <si>
    <t>ΚΟΙΝΩΝΙΚΩΝ, ΑΝΘΡΩΠΙΣΤΙΚΩΝ ΕΠΙΣΤΗΜΩΝ ΚΑΙ ΤΕΧΝΩΝ</t>
  </si>
  <si>
    <t>ΔΙΕΘΝΩΝ ΚΑΙ ΕΥΡΩΠΑΪΚΩΝ ΣΠΟΥΔΩΝ (ΔΕΣ)</t>
  </si>
  <si>
    <t>ΕΚΠΑΙΔΕΥΤΙΚΗΣ ΚΑΙ ΚΟΙΝΩΝΙΚΗΣ ΠΟΛΙΤΙΚΗΣ (ΕΚΠ)</t>
  </si>
  <si>
    <t>ΜΟΥΣΙΚΗΣ ΕΠΙΣΤΗΜΗΣ ΚΑΙ ΤΕΧΝΗΣ (ΜΕΤ)</t>
  </si>
  <si>
    <t>ΕΠΙΣΤΗΜΩΝ ΠΛΗΡΟΦΟΡΙΑΣ</t>
  </si>
  <si>
    <t>ΕΦΑΡΜΟΣΜΕΝΗΣ ΠΛΗΡΟΦΟΡΙΚΗΣ (ΕΠ)</t>
  </si>
  <si>
    <t>» ΕΙΣ. ΚΑΤ. ΕΠΙΣΤΗΜΗΣ ΚΑΙ ΤΕΧΝΟΛΟΓΙΑΣ ΥΠΟΛΟΓΙΣΤΩΝ (ΕΠ-ΕΤΥ)</t>
  </si>
  <si>
    <t>» ΕΙΣ. ΚΑΤ. ΠΛΗΡΟΦΟΡΙΑΚΩΝ ΣΥΣΤΗΜΑΤΩΝ (ΕΠ-ΠΣ)</t>
  </si>
  <si>
    <t xml:space="preserve">ΣΥΝΟΛΟ </t>
  </si>
  <si>
    <t xml:space="preserve">Αριθμός  εγγεγραμμένων φοιτητών σε εξάμηνα &gt; ν+4 ή &gt;ν+6  </t>
  </si>
  <si>
    <t xml:space="preserve">Αριθμός πτυχιούχων σε εξάμηνο φοίτησης &gt;ν+4 ή  &gt;ν+6  </t>
  </si>
  <si>
    <t>ΠΑΝΕΠΙΣΤΗΜΙΟ ΠΑΤΡΩΝ</t>
  </si>
  <si>
    <t>Θετικών Επιστημών (4ετούς)</t>
  </si>
  <si>
    <t>Τμήμα Βιολογίας</t>
  </si>
  <si>
    <t>Τμήμα Γεωλογίας</t>
  </si>
  <si>
    <t>Τμήμα Επιστήμης των Υλικών</t>
  </si>
  <si>
    <t>Τμήμα Φυσικής</t>
  </si>
  <si>
    <t>Τμήμα Χημείας</t>
  </si>
  <si>
    <t>Πολυτεχνική (5ετούς)</t>
  </si>
  <si>
    <t>Τμήμα Αρχιτεκτόνων Μηχανικών</t>
  </si>
  <si>
    <t>Τμήμα Ηλεκτρολόγων Μηχανικών και Τεχνολογίας Υπολογιστών</t>
  </si>
  <si>
    <t>Τμήμα Μηχανικών Η/Υ και Πληροφορικής</t>
  </si>
  <si>
    <t>Τμήμα Μηχανολόγων και Αεροναυπηγών Μηχανικών</t>
  </si>
  <si>
    <t>Τμήμα Πολιτικών Μηχανικών</t>
  </si>
  <si>
    <t>Τμήμα Μηχανικών Περιβάλλοντος (πρώην ΔΠΦΠ)</t>
  </si>
  <si>
    <t>Τμήμα Διαχείρισης Περιβάλλοντος και Φυσικών Πόρων (ΔΠΦΠ)</t>
  </si>
  <si>
    <t>Τμήμα Ιατρικής (6ετούς)</t>
  </si>
  <si>
    <t>Τμήμα Φαρμακευτικής (5ετούς)</t>
  </si>
  <si>
    <t>Ανθρωπιστικών και Κοινωνικών Επιστημών (4ετούς)</t>
  </si>
  <si>
    <t>Τμήμα Επιστημών της Εκπαίδευσης και της Αγωγής στην Προσχολική Ηλικία</t>
  </si>
  <si>
    <t>Τμήμα Θεατρικών Σπουδών</t>
  </si>
  <si>
    <t>Τμήμα Φιλολογίας</t>
  </si>
  <si>
    <t>Τμήμα Φιλοσοφίας</t>
  </si>
  <si>
    <t>Τμήμα Επιστημών της Εκπαίδευσης και Κοινωνικής Εργασίας (ΤΕΠΕΚΕ)</t>
  </si>
  <si>
    <t xml:space="preserve">Παιδαγωγικό Δημοτικής Εκπαίδευσης ΠΤΔΕ  </t>
  </si>
  <si>
    <t xml:space="preserve">Τμήμα Ιστορίας - Αρχαιολογίας </t>
  </si>
  <si>
    <t>ΔΠΠΝΤ</t>
  </si>
  <si>
    <t>Τμήμα Μουσειολογίας</t>
  </si>
  <si>
    <t>Οικονομικών Επιστημών και Διοίκησης Επιχειρήσεων (4ετούς)</t>
  </si>
  <si>
    <t>Τμήμα Διοίκησης Επιχειρήσεων</t>
  </si>
  <si>
    <t>Τμήμα Οικονομικών Επιστημών</t>
  </si>
  <si>
    <t>Τμήμα Διοίκησης Τουρισμού</t>
  </si>
  <si>
    <t>Τμήμα Διοίκησης Επιχειρήσεων Αγροτικών Προϊόντων και Τροφίμων (5ετούς)</t>
  </si>
  <si>
    <t>Επιστημών Αποκατάστασης Υγείας (4ετούς)</t>
  </si>
  <si>
    <t>Τμήμα Φυσικοθεραπείας</t>
  </si>
  <si>
    <t>Τμήμα Λογοθεραπείας</t>
  </si>
  <si>
    <t>Γεωπονικών Επιστημών (5ετούς)</t>
  </si>
  <si>
    <t>Αλιείας και Υδατοκαλλιεργειών</t>
  </si>
  <si>
    <t>Τμήμα Επιστήμης Βιοσυστημάτων και Γεωργικής Μηχανικής</t>
  </si>
  <si>
    <t>Τμήμα Επιστήμης και Τεχνολογίας Τροφίμων</t>
  </si>
  <si>
    <t xml:space="preserve">ΣΥΝΟΛΑ: </t>
  </si>
  <si>
    <t>ΔΙΠΑΕ ( ΝΥΝ ΔΠΘ)</t>
  </si>
  <si>
    <t>ΓΕΩΤΕΧΝΙΚΩΝ ΕΠΙΣΤΗΜΩΝ</t>
  </si>
  <si>
    <t>ΔΙΕΘΝΕΣ ΠΑΝΕΠΙΣΤΗΜΙΟ ΤΗΣ ΕΛΛΑΔΟΣ</t>
  </si>
  <si>
    <t>ΒΙΒΛΙΟΘΗΚΟΝΟΜΙΑΣ, ΑΡΧΕΙΟΝΟΜΙΑΣ ΚΑΙ ΣΥΣΤΗΜΑΤΩΝ ΠΛΗΡΟΦΟΡΗΣΗΣ</t>
  </si>
  <si>
    <t xml:space="preserve">ΓΕΩΤΕΧΝΙΚΩΝ ΕΠΙΣΤΗΜΩΝ </t>
  </si>
  <si>
    <t>ΕΠΙΣΤΗΜΩΝ ΣΧΕΔΙΑΣΜΟΥ</t>
  </si>
  <si>
    <t>ΔΗΜΙΟΥΡΓΙΚΟΥ ΣΧΕΔΙΑΣΜΟΥ ΚΑΙ ΕΝΔΥΣΗΣ (ΚΙΛΚΙΣ)</t>
  </si>
  <si>
    <t>ΟΙΚΟΝΟΜΙΑΣ ΚΑΙ ΔΙΟΙΚΗΣΗΣ</t>
  </si>
  <si>
    <t>ΔΙΟΙΚΗΣΗΣ ΕΦΟΔΙΑΣΤΙΚΗΣ ΑΛΥΣΙΔΑΣ</t>
  </si>
  <si>
    <t>ΔΙΟΙΚΗΣΗ ΟΡΓΑΝΙΣΜΩΝ ΜΑΡΚΕΤΙΝΓΚ ΚΑΙ ΤΟΥΡΙΣΜΟΥ</t>
  </si>
  <si>
    <t>ΕΠΙΣΤΗΜΩΝ ΔΙΑΤΡΟΦΗΣ ΚΑΙ ΔΙΑΙΤΟΛΟΓΙΑΣ</t>
  </si>
  <si>
    <t>ΛΟΓΙΣΤΙΚΗΣ ΚΑΙ ΠΛΗΡΟΦΟΡΙΑΚΩΝ ΣΥΣΤΗΜΑΤΩΝ</t>
  </si>
  <si>
    <t xml:space="preserve">ΜΗΧΑΝΙΚΩΝ ΠΑΡΑΓΩΓΗΣ ΚΑΙ ΔΙΟΙΚΗΣΗΣ </t>
  </si>
  <si>
    <t xml:space="preserve">ΜΗΧΑΝΙΚΩΝ ΠΕΡΙΒΑΛΛΟΝΤΟΣ </t>
  </si>
  <si>
    <t xml:space="preserve">ΜΗΧΑΝΙΚΩΝ ΠΛΗΡΟΦΟΡΙΚΗΣ &amp; ΗΛΕΚΤΡΟΝΙΚΩΝ ΣΥΣΤΗΜΑΤΩΝ </t>
  </si>
  <si>
    <t xml:space="preserve">ΜΗΧΑΝΙΚΩΝ ΠΛΗΡΟΦΟΡΙΚΗΣ, ΥΠΟΛΟΓΙΣΤΩΝ ΚΑΙ ΤΗΛΕΠΙΚΟΙΝΩΝΙΩΝ </t>
  </si>
  <si>
    <t xml:space="preserve">ΜΗΧΑΝΙΚΩΝ </t>
  </si>
  <si>
    <t xml:space="preserve"> ΜΗΧΑΝΙΚΩΝ ΤΟΠΟΓΡΑΦΙΑΣ ΚΑΙ ΓΕΩΠΛΗΡΟΦΟΡΙΚΗΣ</t>
  </si>
  <si>
    <t xml:space="preserve">ΜΗΧΑΝΟΛΟΓΩΝ ΜΗΧΑΝΙΚΩΝ </t>
  </si>
  <si>
    <t>ΔΙΕΘΝΕΣ ΠΑΝΕΠΙΣΤΗΜΙΟ ΤΗΣ ΕΛΛΑΔΑΣ</t>
  </si>
  <si>
    <t>ΟΙΚΟΝΟΜΙΑΣ ΚΑΙ ΔΙOΙΚΗΣΗΣ</t>
  </si>
  <si>
    <t xml:space="preserve">ΟΡΓΑΝΩΣΗΣ ΚΑΙ ΔΙΟΙΚΗΣΗΣΗ ΕΠΙΧΕΙΡΗΣΩΝ </t>
  </si>
  <si>
    <t>Πάντειο Πανεπιστήμιο</t>
  </si>
  <si>
    <t>Επιστημών, Οικονομίας και Διοίκησης</t>
  </si>
  <si>
    <t>Δημόσια Διοίκηση</t>
  </si>
  <si>
    <t>Οικονομικής και Περιφερειακής Ανάπτυξης</t>
  </si>
  <si>
    <t>Πολιτικών Επιστημών</t>
  </si>
  <si>
    <t>Πολιτικής Επιστήμης και Ιστορίας</t>
  </si>
  <si>
    <t>Κοινωνικής Πολιτικής</t>
  </si>
  <si>
    <t>Κοινωνικών Επιστημών</t>
  </si>
  <si>
    <t>Κοινωνιολογίας</t>
  </si>
  <si>
    <t>Ψυχολογίας</t>
  </si>
  <si>
    <t>Κοινωνικής Ανθρωπολογίας</t>
  </si>
  <si>
    <t>Διεθνών Σπουδών, Επικοινωνίας και Πολιτισμού</t>
  </si>
  <si>
    <t>Διεθνών, Ευρωπαικών και Περιφερειακών Σπουδών</t>
  </si>
  <si>
    <t>Επικοινωνίας, Μέσων και Πολιτισμού</t>
  </si>
  <si>
    <t>Οικονομικών, Επιχειρηματικών και Διεθνών Σπουδών</t>
  </si>
  <si>
    <t>Οικονομικής Επιστήμης</t>
  </si>
  <si>
    <t>Οργάνωσης και Διοίκησης Επιχειρήσεων</t>
  </si>
  <si>
    <t xml:space="preserve">Διεθνών και Ευρωπαϊκών Σπουδών </t>
  </si>
  <si>
    <t>Τουριστικών Σπουδών</t>
  </si>
  <si>
    <t>Ναυτιλίας και Βιομηχανίας</t>
  </si>
  <si>
    <t>Ναυτιλιακών Σπουδών</t>
  </si>
  <si>
    <t>Βιομηχανικής Διοίκησης και Τεχνολογίας</t>
  </si>
  <si>
    <t>Χρηματοοικονομικής και Στατιστικής</t>
  </si>
  <si>
    <t xml:space="preserve">Χρηματοοικονομικής και Τραπεζικής Διοίκησης </t>
  </si>
  <si>
    <t>Στατιστικής και Ασφαλιστικής Επιστήμης</t>
  </si>
  <si>
    <t>Τεχνολογιών Πληροφορικής και Επικοινωνιών</t>
  </si>
  <si>
    <t>Πληροφορικής</t>
  </si>
  <si>
    <t xml:space="preserve">Ψηφιακών Συστημάτων </t>
  </si>
  <si>
    <t>Πανεπιστήμιο Πελοποννήσου</t>
  </si>
  <si>
    <t>Γεωπονίας και Τροφίμων</t>
  </si>
  <si>
    <t>Γεωπονίας</t>
  </si>
  <si>
    <t>Διοίκησης</t>
  </si>
  <si>
    <t xml:space="preserve">Διοίκησης Επιχειρήσεων και Οργανισμών </t>
  </si>
  <si>
    <t>Οικονομίας και Τεχνολογίας</t>
  </si>
  <si>
    <t xml:space="preserve">Διοικητικής Επιστήμης και Τεχνολογίας </t>
  </si>
  <si>
    <t xml:space="preserve">Επιστήμης Διατροφής και Διαιτολογίας </t>
  </si>
  <si>
    <t xml:space="preserve"> Επιστήμης και Τεχνολογίας Τροφίμων </t>
  </si>
  <si>
    <t xml:space="preserve"> Ηλεκτρολόγων Μηχανικών και Μηχανικών Υπολογιστών </t>
  </si>
  <si>
    <t>Καλών Τεχνών</t>
  </si>
  <si>
    <t xml:space="preserve">Θεατρικών Σπουδών </t>
  </si>
  <si>
    <t>Ανθρωπιστικών Επιστημών και Πολιτισμικών Σπουδών</t>
  </si>
  <si>
    <t xml:space="preserve">Ιστορίας, Αρχαιολογίας και Διαχείρισης Πολιτισμικών Αγαθών </t>
  </si>
  <si>
    <t>Κοινωνικών και Πολιτικών Επιστημών</t>
  </si>
  <si>
    <t xml:space="preserve"> Κοινωνικής και Εκπαιδευτικής Πολιτικής </t>
  </si>
  <si>
    <t xml:space="preserve">Λογιστικής και Χρηματοοικονομικής </t>
  </si>
  <si>
    <t xml:space="preserve">Λογοθεραπείας </t>
  </si>
  <si>
    <t xml:space="preserve">Μηχανολόγων Μηχανικών </t>
  </si>
  <si>
    <t xml:space="preserve">Οικονομικών Επιστημών </t>
  </si>
  <si>
    <t>Επιστημών Ανθρώπινης Κίνησης και Ποιότητας Ζωής</t>
  </si>
  <si>
    <t xml:space="preserve">Οργάνωσης και Διαχείρισης Αθλητισμού </t>
  </si>
  <si>
    <t xml:space="preserve">Παραστατικών και Ψηφιακών Τεχνών </t>
  </si>
  <si>
    <t xml:space="preserve"> Πληροφορικής και Τηλεπικοινωνιών </t>
  </si>
  <si>
    <t xml:space="preserve">Πολιτικής Επιστήμης και Διεθνών Σχέσεων </t>
  </si>
  <si>
    <t xml:space="preserve"> Πολιτικών Μηχανικών </t>
  </si>
  <si>
    <t>Φιλολογίας</t>
  </si>
  <si>
    <t>Πρόγραμμα Σπουδών</t>
  </si>
  <si>
    <t>Αριθμός διαγραφέντων φοιτητών</t>
  </si>
  <si>
    <t>ΕΑΠ</t>
  </si>
  <si>
    <t>Σχολή Ανθρωπιστικών Επιστημών</t>
  </si>
  <si>
    <t>Σπουδές στον Ελληνικό Πολιτισμό (ΕΛΠ)</t>
  </si>
  <si>
    <t>Σπουδές στον Ευρωπαϊκό Πολιτισμό (ΕΠΟ)</t>
  </si>
  <si>
    <t>Ισπανική Γλώσσα και Πολιτισμός (ΙΣΠ)</t>
  </si>
  <si>
    <t>Σχολή Θετικών Επιστημών και Τεχνολογίας</t>
  </si>
  <si>
    <t>Πληροφορική (ΠΛΗ)</t>
  </si>
  <si>
    <t>Σπουδές στις Φυσικές Επιστήμες (ΦΥΕ)</t>
  </si>
  <si>
    <t>Σχολή Κοινωνικών Επιστημών</t>
  </si>
  <si>
    <t>Διοίκηση Επιχειρήσεων &amp; Οργανισμών (ΔΕΟ)</t>
  </si>
  <si>
    <t>Δημόσια Διοίκηση (ΔΗΔ)</t>
  </si>
  <si>
    <t>Διοίκηση Τουρισμού (ΔΙΤ)</t>
  </si>
  <si>
    <t>Σχολή Εφαρμοσμένων Τεχνών και Βιώσιμου Σχεδιασμού</t>
  </si>
  <si>
    <t>Σπουδές Κινηματογραφικής Γραφής, Πρακτικής και Έρευνας (ΣΚΙ)</t>
  </si>
  <si>
    <t>ΠΟΛΥΤΕΧΝΕΙΟ ΚΡΗΤΗΣ (ΠΚ)</t>
  </si>
  <si>
    <t>ΜΗΧΑΝΙΚΩΝ ΠΑΡΑΓΩΓΗΣ ΚΑΙ ΔΙΟΙΚΗΣΗΣ (ΜΠΔ)</t>
  </si>
  <si>
    <t>ΜΠΔ</t>
  </si>
  <si>
    <t>ΠΚ</t>
  </si>
  <si>
    <t>ΜΗΧΑΝΙΚΩΝ ΟΡΥΚΤΩΝ ΠΟΡΩΝ (ΜΗΧΟΠ)</t>
  </si>
  <si>
    <t>ΜΗΧΟΠ</t>
  </si>
  <si>
    <t>ΗΛΕΚΤΡΟΛΟΓΩΝ ΜΗΧΑΝΙΚΩΝ ΚΑΙ ΜΗΧΑΝΙΚΩΝ ΥΠΟΛΟΓΙΣΤΩΝ (ΗΜΜΥ)</t>
  </si>
  <si>
    <t>ΗΜΜΥ</t>
  </si>
  <si>
    <t>ΧΗΜΙΚΩΝ ΜΗΧΑΝΙΚΩΝ  ΚΑΙ ΜΗΧΑΝΙΚΩΝ ΠΕΡΙΒΑΛΛΟΝΤΟΣ (ΧΗΜΗΠΕΡ)</t>
  </si>
  <si>
    <t>ΧΗΜΗΠΕΡ</t>
  </si>
  <si>
    <t>ΑΡΧΙΤΕΚΤΟΝΩΝ ΜΗΧΑΝΙΚΩΝ (ΑΡΜΗΧ)</t>
  </si>
  <si>
    <t>ΑΡΜΗΧ</t>
  </si>
  <si>
    <t>Αριθμός εγγεγραμμένων φοιτητών  σε εξάμηνο φοίτησης &gt;ν και &lt;=ν+4 ή &lt;=ν+6</t>
  </si>
  <si>
    <t>Αριθμός  εγγεγραμμένων φοιτητών σε εξάμηνα &gt; ν+4 ή  &gt;ν+6</t>
  </si>
  <si>
    <t>Αριθμός πτυχιούχων σε εξάμηνο φοίτησης &gt;ν και &lt;=ν+4 ή &lt;=ν+6</t>
  </si>
  <si>
    <t>Αριθμός πτυχιούχων σε εξάμηνο φοίτησης «&gt;ν+4 ή  &gt;ν+6</t>
  </si>
  <si>
    <t>ΧΑΡΟΚΟΠΕΙΟ ΠΑΝΕΠΙΣΤΗΜΙΟ</t>
  </si>
  <si>
    <t>ΨΗΦΙΑΚΗΣ ΤΕΧΝΟΛΟΓΙΑΣ</t>
  </si>
  <si>
    <t>ΠΛΗΡΟΦΟΡΙΚΗΣ ΚΑΙ ΤΗΛΕΜΑΤΙΚΗΣ</t>
  </si>
  <si>
    <t>ΕΠΙΣΤΗΜΩΝ ΥΓΕΙΑΣ ΚΑΙ ΑΓΩΓΗΣ</t>
  </si>
  <si>
    <t>ΕΠΙΣΤΗΜΗΣ ΔΙΑΙΤΟΛΟΓΙΑΣ-ΔΙΑΤΡΟΦΗΣ</t>
  </si>
  <si>
    <t>ΠΕΡΙΒΑΛΛΟΝΤΟΣ, ΓΕΩΓΡΑΦΙΑΣ ΚΑΙ ΕΦΑΡΜΟΣΜΕΝΩΝ ΟΙΚΟΝΟΜΙΚΩΝ</t>
  </si>
  <si>
    <t>ΟΙΚΟΝΟΜΙΑΣ ΚΑΙ ΒΙΩΣΙΜΗΣ ΑΝΑΠΤΥΞΗΣ</t>
  </si>
  <si>
    <t>ΓΕΩΓΡΑΦΙΑΣ</t>
  </si>
  <si>
    <t xml:space="preserve">ΠΑΝΕΠΙΣΤΗΜΙΟ ΠΕΛΟΠΟΝΝΗΣΟΥ </t>
  </si>
  <si>
    <t>ΠΟΛΥΤΕΧΝΕΙΟ ΚΡΗΤΗΣ</t>
  </si>
  <si>
    <t>ΠΑΝΕΠΙΣΤΗΜΙΟ ΠΕΙΡΑΙΩΣ</t>
  </si>
  <si>
    <t>ΠΑΝΤΕΙΟ ΠΑΝΕΠΙΣΤΗΜΙΟ ΚΟΙΝΩΝΙΚΩΝ KAI ΠΟΛΙΤΙΚΩΝ ΕΠΙΣΤΗΜΩΝ</t>
  </si>
  <si>
    <r>
      <t xml:space="preserve">ΤΜΗΜΑ ΜΟΥΣΙΚΩΝ ΣΠΟΥΔΩΝ </t>
    </r>
    <r>
      <rPr>
        <b/>
        <sz val="10"/>
        <rFont val="Calibri"/>
        <family val="2"/>
        <charset val="161"/>
        <scheme val="minor"/>
      </rPr>
      <t>(5ετής φοίτηση)</t>
    </r>
  </si>
  <si>
    <r>
      <t xml:space="preserve">ΤΜΗΜΑ ΙΑΤΡΙΚΗΣ              </t>
    </r>
    <r>
      <rPr>
        <b/>
        <sz val="10"/>
        <rFont val="Calibri"/>
        <family val="2"/>
        <charset val="161"/>
        <scheme val="minor"/>
      </rPr>
      <t xml:space="preserve"> (6ετής φοίτηση)</t>
    </r>
  </si>
  <si>
    <r>
      <t xml:space="preserve">ΤΜΗΜΑ ΟΔΟΝΤΙΑΤΡΙΚΗΣ  </t>
    </r>
    <r>
      <rPr>
        <b/>
        <sz val="10"/>
        <rFont val="Calibri"/>
        <family val="2"/>
        <charset val="161"/>
        <scheme val="minor"/>
      </rPr>
      <t>(5ετής φοίτηση)</t>
    </r>
  </si>
  <si>
    <r>
      <t xml:space="preserve">ΤΜΗΜΑ ΦΑΡΜΑΚΕΥΤΙΚΗΣ  </t>
    </r>
    <r>
      <rPr>
        <b/>
        <sz val="10"/>
        <rFont val="Calibri"/>
        <family val="2"/>
        <charset val="161"/>
        <scheme val="minor"/>
      </rPr>
      <t>(5ετής φοίτηση)</t>
    </r>
  </si>
  <si>
    <r>
      <t xml:space="preserve">ΑΠΟΓΡΑΦΙΚΗ ΕΡΕΥΝΑ ΦΟΙΤΗΤΩΝ - ΣΥΓΚΕΝΤΡΩΤΙΚΑ ΣΤΟΙΧΕΙΑ ΦΟΙΤΗΤΩΝ ΤΩΝ ΑΕΙ   
    ΑΚΑΔΗΜΑΪΚΟ ΕΤΟΣ  </t>
    </r>
    <r>
      <rPr>
        <b/>
        <sz val="10"/>
        <color rgb="FFFF0000"/>
        <rFont val="Calibri"/>
        <family val="2"/>
        <charset val="161"/>
        <scheme val="minor"/>
      </rPr>
      <t>2022  - 2023  (από 01.09.2022 έως 31.08.2023)</t>
    </r>
  </si>
  <si>
    <r>
      <t>ΕΠΙΣΤΗΜΗΣ ΦΥΤΙΚΗΣ ΠΑΡΑΓΩΓΗΣ</t>
    </r>
    <r>
      <rPr>
        <sz val="10"/>
        <color rgb="FF336600"/>
        <rFont val="Calibri"/>
        <family val="2"/>
        <charset val="161"/>
        <scheme val="minor"/>
      </rPr>
      <t xml:space="preserve"> (Αθήνα)</t>
    </r>
  </si>
  <si>
    <r>
      <t>ΔΑΣΟΛΟΓΙΑΣ  ΚΑΙ ΔΙΑΧΕΙΡΙΣΗΣ  ΦΥΣΙΚΟΥ ΠΕΡΙΒΑΛΛΟΝΤΟΣ</t>
    </r>
    <r>
      <rPr>
        <sz val="10"/>
        <color rgb="FF336600"/>
        <rFont val="Calibri"/>
        <family val="2"/>
        <charset val="161"/>
        <scheme val="minor"/>
      </rPr>
      <t xml:space="preserve"> (Καρπενήσι, από το </t>
    </r>
    <r>
      <rPr>
        <b/>
        <u/>
        <sz val="10"/>
        <color rgb="FF336600"/>
        <rFont val="Calibri"/>
        <family val="2"/>
        <charset val="161"/>
        <scheme val="minor"/>
      </rPr>
      <t>ακαδ. έτος 2019-2020</t>
    </r>
    <r>
      <rPr>
        <sz val="10"/>
        <color rgb="FF336600"/>
        <rFont val="Calibri"/>
        <family val="2"/>
        <charset val="161"/>
        <scheme val="minor"/>
      </rPr>
      <t>)</t>
    </r>
  </si>
  <si>
    <r>
      <t>ΔΑΣΟΠΟΝΙΑΣ  ΚΑΙ ΔΙΑΧΕΙΡΙΣΗΣ  ΦΥΣΙΚΟΥ ΠΕΡΙΒΑΛΛΟΝΤΟΣ</t>
    </r>
    <r>
      <rPr>
        <sz val="10"/>
        <color theme="5" tint="-0.249977111117893"/>
        <rFont val="Calibri"/>
        <family val="2"/>
        <charset val="161"/>
        <scheme val="minor"/>
      </rPr>
      <t xml:space="preserve"> (Καρπενήσι, </t>
    </r>
    <r>
      <rPr>
        <b/>
        <u/>
        <sz val="10"/>
        <color theme="5" tint="-0.249977111117893"/>
        <rFont val="Calibri"/>
        <family val="2"/>
        <charset val="161"/>
        <scheme val="minor"/>
      </rPr>
      <t>πρώην Τ.Ε.Ι. ΣΤΕΡΕΑΣ ΕΛΛΑΔΑΣ έως 28.01.2019</t>
    </r>
    <r>
      <rPr>
        <sz val="10"/>
        <color theme="5" tint="-0.249977111117893"/>
        <rFont val="Calibri"/>
        <family val="2"/>
        <charset val="161"/>
        <scheme val="minor"/>
      </rPr>
      <t>)</t>
    </r>
  </si>
  <si>
    <r>
      <t>ΕΠΙΣΤΗΜΗΣ ΖΩΙΚΗΣ ΠΑΡΑΓΩΓΗΣ</t>
    </r>
    <r>
      <rPr>
        <sz val="10"/>
        <color rgb="FF336600"/>
        <rFont val="Calibri"/>
        <family val="2"/>
        <charset val="161"/>
        <scheme val="minor"/>
      </rPr>
      <t xml:space="preserve"> (Αθήνα)</t>
    </r>
  </si>
  <si>
    <r>
      <t>ΥΔΡΟΒΙΟΛΟΓΙΑΣ ΚΑΙ ΥΔΑΤΟΚΑΛΛΙΕΡΓΕΙΩΝ</t>
    </r>
    <r>
      <rPr>
        <sz val="10"/>
        <color rgb="FF336600"/>
        <rFont val="Calibri"/>
        <family val="2"/>
        <charset val="161"/>
        <scheme val="minor"/>
      </rPr>
      <t xml:space="preserve"> (Αθήνα, υπό αναστολή) </t>
    </r>
  </si>
  <si>
    <r>
      <t>ΑΞΙΟΠΟΙΗΣΗΣ ΦΥΣΙΚΩΝ ΠΟΡΩΝ ΚΑΙ ΓΕΩΡΓΙΚΗΣ ΜΗΧΑΝΙΚΗΣ</t>
    </r>
    <r>
      <rPr>
        <sz val="10"/>
        <color rgb="FF336600"/>
        <rFont val="Calibri"/>
        <family val="2"/>
        <charset val="161"/>
        <scheme val="minor"/>
      </rPr>
      <t xml:space="preserve"> (Αθήνα)</t>
    </r>
  </si>
  <si>
    <r>
      <t>ΠΛΗΡΟΦΟΡΙΚΗΣ ΣΤΗ ΓΕΩΡΓΙΑ ΚΑΙ ΤΟ ΠΕΡΙΒΑΛΛΟΝ</t>
    </r>
    <r>
      <rPr>
        <sz val="10"/>
        <color rgb="FF336600"/>
        <rFont val="Calibri"/>
        <family val="2"/>
        <charset val="161"/>
        <scheme val="minor"/>
      </rPr>
      <t xml:space="preserve"> (Αθήνα, υπό αναστολή)</t>
    </r>
  </si>
  <si>
    <r>
      <t>ΒΙΟΤΕΧΝΟΛΟΓΙΑΣ</t>
    </r>
    <r>
      <rPr>
        <sz val="10"/>
        <color rgb="FF336600"/>
        <rFont val="Calibri"/>
        <family val="2"/>
        <charset val="161"/>
        <scheme val="minor"/>
      </rPr>
      <t xml:space="preserve"> (Αθήνα)</t>
    </r>
  </si>
  <si>
    <r>
      <t>ΑΓΡΟΤΙΚΗΣ ΟΙΚΟΝΟΜΙΑΣ ΚΑΙ ΑΝΑΠΤΥΞΗΣ</t>
    </r>
    <r>
      <rPr>
        <sz val="10"/>
        <color rgb="FF336600"/>
        <rFont val="Calibri"/>
        <family val="2"/>
        <charset val="161"/>
        <scheme val="minor"/>
      </rPr>
      <t xml:space="preserve"> (Αθήνα)</t>
    </r>
  </si>
  <si>
    <r>
      <t>ΠΕΡΙΦΕΡΕΙΑΚΗΣ ΚΑΙ ΟΙΚΟΝΟΜΙΚΗΣ ΑΝΑΠΤΥΞΗΣ</t>
    </r>
    <r>
      <rPr>
        <sz val="10"/>
        <color rgb="FF336600"/>
        <rFont val="Calibri"/>
        <family val="2"/>
        <charset val="161"/>
        <scheme val="minor"/>
      </rPr>
      <t xml:space="preserve"> (Άµφισσα, από το </t>
    </r>
    <r>
      <rPr>
        <b/>
        <u/>
        <sz val="10"/>
        <color rgb="FF336600"/>
        <rFont val="Calibri"/>
        <family val="2"/>
        <charset val="161"/>
        <scheme val="minor"/>
      </rPr>
      <t>ακαδ. έτος 2019-2020</t>
    </r>
    <r>
      <rPr>
        <sz val="10"/>
        <color rgb="FF336600"/>
        <rFont val="Calibri"/>
        <family val="2"/>
        <charset val="161"/>
        <scheme val="minor"/>
      </rPr>
      <t>)</t>
    </r>
  </si>
  <si>
    <r>
      <t>ΔΙΟΙΚΗΣΗΣ, ΟΙΚΟΝΟΜΙΑΣ ΚΑΙ ΕΠΙΚΟΙΝΩΝΙΑΣ ΠΟΛΙΤΙΣΤΙΚΩΝ ΚΑΙ ΤΟΥΡΙΣΤΙΚΩΝ ΜΟΝΑΔΩΝ</t>
    </r>
    <r>
      <rPr>
        <sz val="10"/>
        <color theme="5" tint="-0.249977111117893"/>
        <rFont val="Calibri"/>
        <family val="2"/>
        <charset val="161"/>
        <scheme val="minor"/>
      </rPr>
      <t xml:space="preserve"> (Άµφισσα, </t>
    </r>
    <r>
      <rPr>
        <b/>
        <u/>
        <sz val="10"/>
        <color theme="5" tint="-0.249977111117893"/>
        <rFont val="Calibri"/>
        <family val="2"/>
        <charset val="161"/>
        <scheme val="minor"/>
      </rPr>
      <t>πρώην Τ.Ε.Ι. ΣΤΕΡΕΑΣ ΕΛΛΑΔΑΣ έως 28.01.2019</t>
    </r>
    <r>
      <rPr>
        <sz val="10"/>
        <color theme="5" tint="-0.249977111117893"/>
        <rFont val="Calibri"/>
        <family val="2"/>
        <charset val="161"/>
        <scheme val="minor"/>
      </rPr>
      <t>)</t>
    </r>
  </si>
  <si>
    <r>
      <t>ΔΙΟΙΚΗΣΗΣ ΓΕΩΡΓΙΚΩΝ ΕΠΙΧΕΙΡΗΣΕΩΝ ΚΑΙ ΣΥΣΤΗΜΑΤΩΝ ΕΦΟΔΙΑΣΜΟΥ</t>
    </r>
    <r>
      <rPr>
        <sz val="10"/>
        <color rgb="FF336600"/>
        <rFont val="Calibri"/>
        <family val="2"/>
        <charset val="161"/>
        <scheme val="minor"/>
      </rPr>
      <t xml:space="preserve"> (Θήβα, από το </t>
    </r>
    <r>
      <rPr>
        <b/>
        <u/>
        <sz val="10"/>
        <color rgb="FF336600"/>
        <rFont val="Calibri"/>
        <family val="2"/>
        <charset val="161"/>
        <scheme val="minor"/>
      </rPr>
      <t>ακαδ. έτος 2019-2020</t>
    </r>
    <r>
      <rPr>
        <sz val="10"/>
        <color rgb="FF336600"/>
        <rFont val="Calibri"/>
        <family val="2"/>
        <charset val="161"/>
        <scheme val="minor"/>
      </rPr>
      <t>)</t>
    </r>
  </si>
  <si>
    <r>
      <t xml:space="preserve">ΔΙΟΙΚΗΣΗΣ ΣΥΣΤΗΜΑΤΩΝ ΕΦΟΔΙΑΣΜΟΥ </t>
    </r>
    <r>
      <rPr>
        <sz val="10"/>
        <color theme="5" tint="-0.249977111117893"/>
        <rFont val="Calibri"/>
        <family val="2"/>
        <charset val="161"/>
        <scheme val="minor"/>
      </rPr>
      <t xml:space="preserve"> (Θήβα, </t>
    </r>
    <r>
      <rPr>
        <b/>
        <u/>
        <sz val="10"/>
        <color theme="5" tint="-0.249977111117893"/>
        <rFont val="Calibri"/>
        <family val="2"/>
        <charset val="161"/>
        <scheme val="minor"/>
      </rPr>
      <t>πρώην Τ.Ε.Ι. ΣΤΕΡΕΑΣ ΕΛΛΑΔΑΣ έως 28.01.2019</t>
    </r>
    <r>
      <rPr>
        <sz val="10"/>
        <color theme="5" tint="-0.249977111117893"/>
        <rFont val="Calibri"/>
        <family val="2"/>
        <charset val="161"/>
        <scheme val="minor"/>
      </rPr>
      <t>)</t>
    </r>
  </si>
  <si>
    <r>
      <t>ΕΠΙΣΤΗΜΗΣ ΤΡΟΦΙΜΩΝ ΚΑΙ ΔΙΑΤΡΟΦΗΣ ΤΟΥ ΑΝΘΡΩΠΟΥ</t>
    </r>
    <r>
      <rPr>
        <sz val="10"/>
        <color rgb="FF336600"/>
        <rFont val="Calibri"/>
        <family val="2"/>
        <charset val="161"/>
        <scheme val="minor"/>
      </rPr>
      <t xml:space="preserve"> (Αθήνα)</t>
    </r>
  </si>
  <si>
    <r>
      <t>ΔΙΑΙΤΟΛΟΓΙΑΣ ΚΑΙ ΠΟΙΟΤΗΤΑΣ ΖΩΗΣ</t>
    </r>
    <r>
      <rPr>
        <sz val="10"/>
        <color rgb="FF336600"/>
        <rFont val="Calibri"/>
        <family val="2"/>
        <charset val="161"/>
        <scheme val="minor"/>
      </rPr>
      <t xml:space="preserve"> (Αθήνα, υπό αναστολή)</t>
    </r>
  </si>
  <si>
    <r>
      <t>ΓΕΝΙΚΟ ΤΜΗΜΑ</t>
    </r>
    <r>
      <rPr>
        <sz val="10"/>
        <color rgb="FF336600"/>
        <rFont val="Calibri"/>
        <family val="2"/>
        <charset val="161"/>
        <scheme val="minor"/>
      </rPr>
      <t xml:space="preserve"> (Αθήνα)</t>
    </r>
  </si>
  <si>
    <t>ΣΥΝΟΛΑ  (Α) - (Θ)</t>
  </si>
  <si>
    <t>ΠΑΝΕΠΙΣΤΗΜΙΟ ΘΕΣΣΑΛΙΑΣ</t>
  </si>
  <si>
    <t xml:space="preserve">ΑΝΩΤΑΤΗ ΣΧΟΛΗ ΠΑΙΔΑΓΩΓΙΚΗΣ &amp; ΤΕΧΝΟΛΟΓΙΚΗΣ ΕΚΠΑΙΔΕΥΣΗΣ
</t>
  </si>
  <si>
    <t>ΑΡΙΣΤΟΤΕΛΕΙΟ ΠΑΝΕΠΙΣΤΗΜΙΟ ΘΕΣΣΑΛΟΝΙΚΗΣ</t>
  </si>
  <si>
    <t>ΔΗΜΟΚΡΙΤΕΙΟ ΠΑΝΕΠΙΣΤΗΜΙΟ ΘΡΑΚΗΣ</t>
  </si>
  <si>
    <t>ΕΛΛΗΝΙΚΟ ΑΝΟΙΚΤΟ ΠΑΝΕΠΙΣΤΗΜΙΟ</t>
  </si>
  <si>
    <t xml:space="preserve">ΕΘΝΙΚΟ ΚΑΙ ΚΑΠΟΔΙΣΤΡΙΑΚΟ ΠΑΝΕΠΙΣΤΗΜΙΟ ΑΘΗΝΩΝ </t>
  </si>
  <si>
    <t>ΠΑΝΕΠΙΣΤΗΜΙΟ ΘΕΣΣΑΛΙΑΣ-Πρόγραμμα Σπουδών ΤΕΙ</t>
  </si>
  <si>
    <t xml:space="preserve">ΘΕΤΙΚΩΝ ΕΠΙΣΤΗΜΩΝ </t>
  </si>
  <si>
    <t>ΑΝΘΡΩΠΙΣΤΙΚΩΝ ΚΑΙ ΚΟΙΝΩΝΙΚΩΝ ΕΠΙΣΤΗΜΩΝ</t>
  </si>
  <si>
    <t xml:space="preserve">ΟΙΚΟΝΟΜΙΚΩΝ ΕΠΙΣΤΗΜΩΝ ΚΑΙ ΔΙΟΙΚΗΣΗΣ ΕΠΙΧΕΙΡΗΣΕΩΝ </t>
  </si>
  <si>
    <t>ΜΗΧΑΝΙΚΩΝ ΟΡΥΚΤΩΝ ΠΟΡΩΝ</t>
  </si>
  <si>
    <t>ΧΗΜΙΚΩΝ ΜΗΧΑΝΙΚΩΝ ΚΑΙ ΜΗΧΑΝΙΚΩΝ ΠΕΡΙΒΑΛΛΟΝΤΟΣ</t>
  </si>
  <si>
    <t>ΠΑΝΕΠΙΣΤΗΜΙΟ ΠΕΛΟΠΟΝΝΗΣΟΥ</t>
  </si>
  <si>
    <t xml:space="preserve">ΧΗΜΙΚΩΝ ΜΗΧΑΝΙΚΩΝ  ΚΑΙ ΜΗΧΑΝΙΚΩΝ ΠΕΡΙΒΑΛΛΟΝΤΟΣ </t>
  </si>
  <si>
    <t>ΜΗΧΑΝΙΚΩΝ ΠΑΡΑΓΩΓΗΣ ΚΑΙ ΔΙΟΙΚΗΣΗΣ</t>
  </si>
  <si>
    <t>ΕΠΙΣΤΗΜΗΣ ΦΥΤΙΚΗΣ ΠΑΡΑΓΩΓΗΣ</t>
  </si>
  <si>
    <t>ΕΠΙΣΤΗΜΗΣ ΖΩΙΚΗΣ ΠΑΡΑΓΩΓΗΣ</t>
  </si>
  <si>
    <t xml:space="preserve">ΑΞΙΟΠΟΙΗΣΗΣ ΦΥΣΙΚΩΝ ΠΟΡΩΝ ΚΑΙ ΓΕΩΡΓΙΚΗΣ ΜΗΧΑΝΙΚΗΣ </t>
  </si>
  <si>
    <t>ΒΙΟΤΕΧΝΟΛΟΓΙΑΣ</t>
  </si>
  <si>
    <t>ΑΓΡΟΤΙΚΗΣ ΟΙΚΟΝΟΜΙΑΣ ΚΑΙ ΑΝΑΠΤΥΞΗΣ</t>
  </si>
  <si>
    <t>ΕΠΙΣΤΗΜΗΣ ΤΡΟΦΙΜΩΝ ΚΑΙ ΔΙΑΤΡΟΦΗΣ ΤΟΥ ΑΝΘΡΩΠΟΥ</t>
  </si>
  <si>
    <t>ΓΕΝΙΚΟ ΤΜΗΜΑ</t>
  </si>
  <si>
    <t xml:space="preserve">ΟΙΚΟΝΟΜΙΚΩΝ ΕΠΙΣΤΗΜΩΝ </t>
  </si>
  <si>
    <t xml:space="preserve">ΟΡΓΑΝΩΣΗΣ ΚΑΙ ΔΙΟΙΚΗΣΗΣ ΕΠΙΧΕΙΡΗΣΕΩΝ </t>
  </si>
  <si>
    <t xml:space="preserve">ΛΟΓΙΣΤΙΚΗΣ ΚΑΙ ΧΡΗΜΑΤΟΟΙΚΟΝΟΜΙΚΗΣ </t>
  </si>
  <si>
    <t xml:space="preserve">ΔΙΕΘΝΩΝ ΚΑΙ ΕΥΡΩΠΑΪΚΩΝ ΣΠΟΥΔΩΝ </t>
  </si>
  <si>
    <t xml:space="preserve">ΕΚΠΑΙΔΕΥΤΙΚΗΣ ΚΑΙ ΚΟΙΝΩΝΙΚΗΣ ΠΟΛΙΤΙΚΗΣ </t>
  </si>
  <si>
    <t>ΜΟΥΣΙΚΗΣ ΕΠΙΣΤΗΜΗΣ ΚΑΙ ΤΕΧΝΗΣ</t>
  </si>
  <si>
    <t xml:space="preserve">ΕΦΑΡΜΟΣΜΕΝΗΣ ΠΛΗΡΟΦΟΡΙΚΗΣ </t>
  </si>
  <si>
    <t>ΗΛΕΚΤΡΟΛΟΓΩΝ ΜΗΧΑΝΙΚΩΝ &amp; ΜΗΧΑΝΙΚΩΝ ΥΠΟΛΟΓΙΣΤΩΝ</t>
  </si>
  <si>
    <t>ΑΡΙΧΤΕΚΤΟΝΩΝ ΜΗΧΑΝΙΚΩΝ</t>
  </si>
  <si>
    <t xml:space="preserve">ΑΓΡΟΝΟΜΩΝ &amp; ΤΟΠΟΓΡΑΦΩΝ ΜΗΧΑΝΙΚΩΝ - ΜΗΧΑΝΙΚΩΝ  ΓΕΩΠΛΗΡΟΦΟΡΙΚΗΣ </t>
  </si>
  <si>
    <t>ΜΕΤΑΛΛΕΙΟΛΟΓΩΝ -ΜΕΤΑΛΛΟΥΡΓΩΝ  ΜΗΧΑΝΙΚΩΝ</t>
  </si>
  <si>
    <t>ΝΑΥΠΗΓΩΝ ΜΗΧΑΝΟΛΟΓΩΝ ΜΗΧΑΝΙΚΩΝ</t>
  </si>
  <si>
    <t>ΜΕΤΑΛΛΕΙΟΛΟΓΩΝ - ΜΕΤΑΛΛΟΥΡΓΩΝ  ΜΗΧΑΝΙΚΩΝ</t>
  </si>
  <si>
    <t>ΠΡΟΓΡΑΜΜΑΤΑ ΣΠΟΥΔΩΝ ΠΡΩΗΝ ΤΕΙ ΣΤ. ΕΛΛΑΔΑΣ (ΕΝΤΑΞΗ ΣΤΟ ΕΚΠΑ Ν. 4589/2019)</t>
  </si>
  <si>
    <t>ΕΠΙΣΤΗΜΩΝ ΔΙΟΙΚΗΣΗΣ ΚΑΙ ΟΙΚΟΝΟΜΙΑΣ</t>
  </si>
  <si>
    <t>ΜΟΥΣΙΚΗΣ ΚΑΙ ΟΠΤΟΑΚΟΥΣΤΙΚΩΝ ΤΕΧΝΟΛΟΓΙΩΝ</t>
  </si>
  <si>
    <t/>
  </si>
  <si>
    <t>ΕΠΙΣΤΗΜΩΝ ΦΥΣΙΚΗΣ ΑΓΩΓΗΣ, ΑΘΛΗΤΙΣΜΟΥ ΚΑΙ ΔΙΑΙΤΟΛΟΓΙΑΣ</t>
  </si>
  <si>
    <t>ΤΕΧΝΟΛΟΓΙΑΣ</t>
  </si>
  <si>
    <t>ΣΥΜΒΟΥΛΙΟ ΕΝΤΑΞΗΣ</t>
  </si>
  <si>
    <t xml:space="preserve">ΑΝΘΡΩΠΙΣΤΙΚΩΝ ΚΑΙ ΚΟΙΝΩΝΙΚΩΝ ΕΠΙΣΤΗΜΩΝ </t>
  </si>
  <si>
    <t xml:space="preserve">ΕΠΙΣΤΗΜΩΝ ΑΠΟΚΑΤΑΣΤΑΣΗΣ ΥΓΕΙΑΣ </t>
  </si>
  <si>
    <t>ΟΙΚΟΝΟΜΙΚΩΝ, ΕΠΙΧΕΙΡΗΜΑΤΙΚΩΝ ΚΑΙ ΔΙΕΘΝΩΝ ΣΠΟΥΔΩΝ</t>
  </si>
  <si>
    <t>ΝΑΥΤΙΛΙΑΣ ΚΑΙ ΒΙΟΜΗΧΑΝΙΑΣ</t>
  </si>
  <si>
    <t>ΧΡΗΜΑΤΟΟΙΚΟΝΟΜΙΚΗΣ ΚΑΙ ΣΤΑΤΙΣΤΙΚΗΣ</t>
  </si>
  <si>
    <t>ΤΕΧΝΟΛΟΓΙΩΝ ΠΛΗΡΟΦΟΡΙΚΗΣ ΚΑΙ ΕΠΙΚΟΙΝΩΝΙΩΝ</t>
  </si>
  <si>
    <t>ΓΕΩΠΟΝΙΑΣ ΚΑΙ ΤΡΟΦΙΜΩΝ</t>
  </si>
  <si>
    <t>ΔΙΟΙΚΗΣΗΣ</t>
  </si>
  <si>
    <t>ΟΙΚΟΝΟΜΙΑΣ ΚΑΙ ΤΕΧΝΟΛΟΓΙΑΣ</t>
  </si>
  <si>
    <t>ΑΝΘΡΩΠΙΣΤΙΚΩΝ ΕΠΙΣΤΗΜΩΝ ΚΑΙ ΠΟΛΙΤΙΣΜΙΚΩΝ ΣΠΟΥΔΩΝ</t>
  </si>
  <si>
    <t>ΚΟΙΝΩΝΙΚΩΝ ΚΑΙ ΠΟΛΙΤΙΚΩΝ ΕΠΙΣΤΗΜΩΝ</t>
  </si>
  <si>
    <t>ΕΠΙΣΤΗΜΩΝ ΑΝΘΡΩΠΙΝΗΣ ΚΙΝΗΣΗΣ ΚΑΙ ΠΟΙΟΤΗΤΑΣ ΖΩΗΣ</t>
  </si>
  <si>
    <t>ΔΑΣΟΛΟΓΙΑΣ  ΚΑΙ ΔΙΑΧΕΙΡΙΣΗΣ  ΦΥΣΙΚΟΥ ΠΕΡΙΒΑΛΛΟΝΤΟΣ (ΚΑΡΠΕΝΗΣΙ, ΑΠΟ ΤΟ ΑΚΑΔ. ΕΤΟΣ 2019-2020)</t>
  </si>
  <si>
    <t>ΔΑΣΟΠΟΝΙΑΣ  ΚΑΙ ΔΙΑΧΕΙΡΙΣΗΣ  ΦΥΣΙΚΟΥ ΠΕΡΙΒΑΛΛΟΝΤΟΣ (ΚΑΡΠΕΝΗΣΙ, ΠΡΩΗΝ Τ.Ε.Ι. ΣΤΕΡΕΑΣ ΕΛΛΑΔΑΣ ΕΩΣ 28.01.2019)</t>
  </si>
  <si>
    <t xml:space="preserve">ΥΔΡΟΒΙΟΛΟΓΙΑΣ ΚΑΙ ΥΔΑΤΟΚΑΛΛΙΕΡΓΕΙΩΝ (ΑΘΗΝΑ, ΥΠΟ ΑΝΑΣΤΟΛΗ) </t>
  </si>
  <si>
    <t>ΠΛΗΡΟΦΟΡΙΚΗΣ ΣΤΗ ΓΕΩΡΓΙΑ ΚΑΙ ΤΟ ΠΕΡΙΒΑΛΛΟΝ (ΑΘΗΝΑ, ΥΠΟ ΑΝΑΣΤΟΛΗ)</t>
  </si>
  <si>
    <t>ΔΙΟΙΚΗΣΗΣ ΓΕΩΡΓΙΚΩΝ ΕΠΙΧΕΙΡΗΣΕΩΝ ΚΑΙ ΣΥΣΤΗΜΑΤΩΝ ΕΦΟΔΙΑΣΜΟΥ (ΘΗΒΑ, ΑΠΟ ΤΟ ΑΚΑΔ. ΕΤΟΣ 2019-2020)</t>
  </si>
  <si>
    <t>ΔΙΟΙΚΗΣΗΣ ΣΥΣΤΗΜΑΤΩΝ ΕΦΟΔΙΑΣΜΟΥ  (ΘΗΒΑ, ΠΡΩΗΝ Τ.Ε.Ι. ΣΤΕΡΕΑΣ ΕΛΛΑΔΑΣ ΕΩΣ 28.01.2019)</t>
  </si>
  <si>
    <t>ΔΙΑΙΤΟΛΟΓΙΑΣ ΚΑΙ ΠΟΙΟΤΗΤΑΣ ΖΩΗΣ (ΑΘΗΝΑ, ΥΠΟ ΑΝΑΣΤΟΛΗ)</t>
  </si>
  <si>
    <t xml:space="preserve">ΣΠΟΥΔΕΣ ΣΤΟΝ ΕΛΛΗΝΙΚΟ ΠΟΛΙΤΙΣΜΟ </t>
  </si>
  <si>
    <t>ΣΠΟΥΔΕΣ ΣΤΟΝ ΕΥΡΩΠΑΪΚΟ ΠΟΛΙΤΙΣΜΟ</t>
  </si>
  <si>
    <t xml:space="preserve">ΙΣΠΑΝΙΚΗ ΓΛΩΣΣΑ ΚΑΙ ΠΟΛΙΤΙΣΜΟΣ </t>
  </si>
  <si>
    <t xml:space="preserve">ΣΠΟΥΔΕΣ ΣΤΙΣ ΦΥΣΙΚΕΣ ΕΠΙΣΤΗΜΕΣ </t>
  </si>
  <si>
    <t xml:space="preserve"> ΓΕΩΠΟΝΙΑΣ</t>
  </si>
  <si>
    <t xml:space="preserve"> ΔΙΟΙΚΗΣΗΣ ΕΠΙΧΕΙΡΗΣΕΩΝ ΚΑΙ ΤΟΥΡΙΣΜΟΥ</t>
  </si>
  <si>
    <t xml:space="preserve"> ΔΙΟΙΚΗΤΙΚΗΣ ΕΠΙΣΤΗΜΗΣ ΚΑΙ ΤΕΧΝΟΛΟΓΙΑΣ</t>
  </si>
  <si>
    <t xml:space="preserve"> ΛΟΓΙΣΤΙΚΗΣ ΚΑΙ ΧΡΗΜΑΤΟΟΙΚΟΝΟΜΙΚΗΣ</t>
  </si>
  <si>
    <t xml:space="preserve"> ΚΟΙΝΩΝΙΚΗΣ ΕΡΓΑΣΙΑΣ</t>
  </si>
  <si>
    <t xml:space="preserve"> ΕΠΙΣΤΗΜΩΝ ΔΙΑΤΡΟΦΗΣ ΚΑΙ ΔΙΑΙΤΟΛΟΓΙΑΣ</t>
  </si>
  <si>
    <t xml:space="preserve"> ΗΛΕΚΤΡΟΛΟΓΩΝ ΜΗΧΑΝΙΚΩΝ ΚΑΙ ΜΗΧΑΝΙΚΩΝ ΥΠΟΛΟΓΙΣΤΩΝ</t>
  </si>
  <si>
    <t xml:space="preserve"> ΜΗΧΑΝΟΛΟΓΩΝ ΜΗΧΑΝΙΚΩΝ</t>
  </si>
  <si>
    <t xml:space="preserve"> ΗΛΕΚΤΡΟΝΙΚΩΝ ΜΗΧΑΝΙΚΩΝ</t>
  </si>
  <si>
    <t xml:space="preserve"> ΜΟΥΣΙΚΗΣ ΤΕΧΝΟΛΟΓΙΑΣ ΚΑΙ ΑΚΟΥΣΤΙΚΗΣ</t>
  </si>
  <si>
    <t xml:space="preserve">ΠΑΙΔΑΓΩΓΙΚΟ ΤΜΗΜΑ ΝΗΠΙΑΓΩΓΩΝ </t>
  </si>
  <si>
    <t xml:space="preserve">ΠΑΙΔΑΓΩΓΙΚΟ ΤΜΗΜΑ ΔΗΜΟΤΙΚΗΣ ΕΚΠΑΙΔΕΥΣΗΣ </t>
  </si>
  <si>
    <t>ΤΜΗΜΑ ΔΙΟΙΚΗΣΗΣ ΕΠΙΧΕΙΡΗΣΕΩΝ ΤΕ-ΚΟΖΑΝΗ</t>
  </si>
  <si>
    <t>ΤΜΗΜΑ ΜΑΙΕΥΤΙΚΗΣ ΤΕ</t>
  </si>
  <si>
    <t>ΤΜΗΜΑ ΛΟΓΙΣΤΙΚΗΣ ΤΕ</t>
  </si>
  <si>
    <t>ΤΜΗΜΑ ΧΡΗΜΑΤΟΟΙΚΟΝΟΜΙΚΩΝ ΕΦΑΡΜΟΓΩΝ ΤΕ</t>
  </si>
  <si>
    <t>ΤΜΗΜΑ ΛΟΓΙΣΤΙΚΗΣ ΚΑΙ ΧΡΗΜΑΤΟΟΙΚΟΝΟΜΙΚΗΣ ΤΕ</t>
  </si>
  <si>
    <t>ΤΜΗΜΑΤΑ ΔΙΟΙΚΗΣΗΣ ΕΠΙΧΕΙΡΗΣΕΩΝ ΤΕ- ΓΡΕΒΕΝΑ</t>
  </si>
  <si>
    <t>ΤΜΗΜΑ ΗΛΕΚΤΡΟΛΟΓΩΝ ΜΗΧΑΝΙΚΩΝ ΤΕ</t>
  </si>
  <si>
    <t>ΒΙΟΧΗΜΕΙΑΣ ΚΑΙ ΒΙΟΤΕΧΝΟΛΟΓΙΑΣ</t>
  </si>
  <si>
    <t>ΠΑΙΔΑΓΩΓΙΚΟ ΔΗΜΟΤΙΚΗΣ ΕΚΠΑΙΔΕΥΣΗΣ</t>
  </si>
  <si>
    <t>ΠΑΙΔΑΓΩΓΙΚΟ ΕΙΔΙΚΗΣ ΑΓΩΓΗΣ</t>
  </si>
  <si>
    <t>ΠΑΙΔΑΓΩΓΙΚΟ ΠΡΟΣΧΟΛΙΚΗΣ ΕΚΠΑΙΔΕΥΣΗΣ</t>
  </si>
  <si>
    <t>ΠΛΗΡΟΦΟΡΙΚΗΣ ΚΑΙ ΤΗΛΕΠΙΚΟΙΝΩΝΙΩΝ (ΠΡΩΗΝ ΠΛΗΡΟΦΟΡΙΚΗΣ)</t>
  </si>
  <si>
    <t>ΠΛΗΡΟΦΟΡΙΚΗΣ ΜΕ ΕΦΑΡΜΟΓΕΣ ΣΤΗ ΒΙΟΪΑΤΡΙΚΗ</t>
  </si>
  <si>
    <t>ΠΟΛΙΤΙΣΜΟΥ ΚΑΙ ΔΗΜΙΟΥΡΓΙΚΩΝ ΜΕΣΩΝ ΚΑΙ ΒΙΟΜΗΧΑΝΙΩΝ</t>
  </si>
  <si>
    <t>ΓΛΩΣΣΙΚΩΝ ΚΑΙ ΔΙΑΠΟΛΙΤΙΣΜΙΚΩΝ ΣΠΟΥΔΩΝ</t>
  </si>
  <si>
    <t>ΓΕΩΠΟΝΙΑΣ - ΑΓΡΟΤΕΧΝΟΛΟΓΙΑΣ</t>
  </si>
  <si>
    <t>ΔΗΜΟΣΙΑΣ ΚΑΙ ΕΝΙΑΙΑΣ ΥΓΕΙΑΣ</t>
  </si>
  <si>
    <t>ΣΥΣΤΗΜΑΤΩΝ ΕΝΕΡΓΕΙΑΣ</t>
  </si>
  <si>
    <t>ΨΗΦΙΑΚΩΝ ΣΥΣΤΗΜΑΤΩΝ</t>
  </si>
  <si>
    <t>ΕΠΙΣΤΗΜΗΣ ΤΡΟΦΙΜΩΝ ΚΑΙ ΔΙΑΤΡΟΦΗΣ</t>
  </si>
  <si>
    <t>ΔΙΑΙΤΟΛΟΓΙΑΣ ΚΑΙ ΔΙΑΤΡΟΦΟΛΟΓΙΑΣ</t>
  </si>
  <si>
    <t>ΠΣ ΔΑΣΟΠΟΝΙΑΣ ΚΑΙ ΔΙΑΧΕΙΡΙΣΗΣ ΦΥΣΙΚΟΥ ΠΕΡΙΒΑΛΛΟΝΤΟΣ ΤΕ (ΤΕΙ ΘΕΣΣΑΛΙΑΣ)</t>
  </si>
  <si>
    <t>ΠΣ ΔΙΑΤΡΟΦΗΣ ΚΑΙ ΔΙΑΙΤΟΛΟΓΙΑΣ ΤΕ (ΤΕΙ ΘΕΣΣΑΛΙΑΣ)</t>
  </si>
  <si>
    <t>ΠΣ ΔΙΟΙΚΗΣΗΣ ΕΠΙΧΕΙΡΗΣΕΩΝ ΤΕ (ΤΕΙ ΘΕΣΣΑΛΙΑΣ)</t>
  </si>
  <si>
    <t>ΠΣ ΗΛΕΚΤΡΟΛΟΓΩΝ ΜΗΧΑΝΙΚΩΝ ΤΕ (ΤΕΙ ΘΕΣΣΑΛΙΑΣ)</t>
  </si>
  <si>
    <t>ΠΣ ΗΛΕΚΤΡΟΝΙΚΩΝ ΜΗΧΑΝΙΚΩΝ ΤΕ (ΤΕΙ ΣΤΕΡΕΑΣ ΕΛΛΑΔΑΣ)</t>
  </si>
  <si>
    <t>ΠΣ ΛΟΓΙΣΤΙΚΗΣ ΚΑΙ ΧΡΗΜΑΤΟΟΙΚΟΝΟΜΙΚΗΣ ΤΕ (ΤΕΙ ΘΕΣΣΑΛΙΑΣ)</t>
  </si>
  <si>
    <t>ΠΣ ΜΗΧΑΝΙΚΩΝ ΠΛΗΡΟΦΟΡΙΚΗΣ ΤΕ (ΤΕΙ ΘΕΣΣΑΛΙΑΣ)</t>
  </si>
  <si>
    <t>ΠΣ ΜΗΧΑΝΙΚΩΝ ΠΛΗΡΟΦΟΡΙΚΗΣ ΤΕ (ΤΕΙ ΣΤΕΡΕΑΣ ΕΛΛΑΔΑΣ)</t>
  </si>
  <si>
    <t>ΠΣ ΜΗΧΑΝΟΛΟΓΩΝ ΜΗΧΑΝΙΚΩΝ ΤΕ (ΤΕΙ ΘΕΣΣΑΛΙΑΣ)</t>
  </si>
  <si>
    <t>ΠΣ ΝΟΣΗΛΕΥΤΙΚΗΣ ΤΕ (ΤΕΙ ΘΕΣΣΑΛΙΑΣ)</t>
  </si>
  <si>
    <t>ΠΣ ΝΟΣΗΛΕΥΤΙΚΗΣ ΤΕ (ΤΕΙ ΣΤΕΡΕΑΣ ΕΛΛΑΔΑΣ)</t>
  </si>
  <si>
    <t>ΠΣ ΠΟΛΙΤΙΚΩΝ ΜΗΧΑΝΙΚΩΝ ΤΕ (ΛΑΡΙΣΑ) (ΤΕΙ ΘΕΣΣΑΛΙΑΣ)</t>
  </si>
  <si>
    <t>ΠΣ ΠΟΛΙΤΙΚΩΝ ΜΗΧΑΝΙΚΩΝ ΤΕ (ΤΡΙΚΑΛΑ) (ΤΕΙ ΘΕΣΣΑΛΙΑΣ)</t>
  </si>
  <si>
    <t>ΠΣ ΣΧΕΔΙΑΣΜΟΥ ΚΑΙ ΤΕΧΝΟΛΟΓΙΑΣ ΞΥΛΟΥ ΚΑΙ ΕΠΙΠΛΟΥ ΤΕ (ΤΕΙ ΘΕΣΣΑΛΙΑΣ)</t>
  </si>
  <si>
    <t>ΠΣ ΤΕΧΝΟΛΟΓΙΑΣ ΤΡΟΦΙΜΩΝ ΤΕ (ΤΕΙ ΘΕΣΣΑΛΙΑΣ)</t>
  </si>
  <si>
    <t>ΠΣ ΤΕΧΝΟΛΟΓΩΝ ΓΕΩΠΟΝΩΝ ΤΕ (ΤΕΙ ΘΕΣΣΑΛΙΑΣ)</t>
  </si>
  <si>
    <t>ΠΣ ΦΥΣΙΚΟΘΕΡΑΠΕΙΑΣ ΤΕ (ΤΕΙ ΣΤΕΡΕΑΣ ΕΛΛΑΔΑΣ)</t>
  </si>
  <si>
    <t>ΠΣ ΙΑΤΡΙΚΩΝ ΕΡΓΑΣΤΗΡΙΩΝ ΤΕ (ΤΕΙ ΘΕΣΣΑΛΙΑΣ)</t>
  </si>
  <si>
    <t xml:space="preserve">ΠΑΙΔΑΓΩΓΙΚΟ ΔΗΜΟΤΙΚΗΣ ΕΚΠΑΙΔΕΥΣΗΣ ΠΤΔΕ  </t>
  </si>
  <si>
    <t>ΑΛΙΕΙΑΣ ΚΑΙ ΥΔΑΤΟΚΑΛΛΙΕΡΓΕΙΩΝ</t>
  </si>
  <si>
    <t>ΟΙΚΟΝΟΜΙΚΗΣ ΚΑΙ ΠΕΡΙΦΕΡΕΙΑΚΗΣ ΑΝΑΠΤΥΞΗΣ</t>
  </si>
  <si>
    <t>ΠΟΛΙΤΙΚΗΣ ΕΠΙΣΤΗΜΗΣ ΚΑΙ ΙΣΤΟΡΙΑΣ</t>
  </si>
  <si>
    <t>ΚΟΙΝΩΝΙΚΗΣ ΑΝΘΡΩΠΟΛΟΓΙΑΣ</t>
  </si>
  <si>
    <t>ΤΟΥΡΙΣΤΙΚΩΝ ΣΠΟΥΔΩΝ</t>
  </si>
  <si>
    <t>ΝΑΥΤΙΛΙΑΚΩΝ ΣΠΟΥΔΩΝ</t>
  </si>
  <si>
    <t>ΒΙΟΜΗΧΑΝΙΚΗΣ ΔΙΟΙΚΗΣΗΣ ΚΑΙ ΤΕΧΝΟΛΟΓΙΑΣ</t>
  </si>
  <si>
    <t xml:space="preserve">ΧΡΗΜΑΤΟΟΙΚΟΝΟΜΙΚΗΣ ΚΑΙ ΤΡΑΠΕΖΙΚΗΣ ΔΙΟΙΚΗΣΗΣ </t>
  </si>
  <si>
    <t>ΣΤΑΤΙΣΤΙΚΗΣ ΚΑΙ ΑΣΦΑΛΙΣΤΙΚΗΣ ΕΠΙΣΤΗΜΗΣ</t>
  </si>
  <si>
    <t xml:space="preserve">ΨΗΦΙΑΚΩΝ ΣΥΣΤΗΜΑΤΩΝ </t>
  </si>
  <si>
    <t xml:space="preserve">ΔΙΟΙΚΗΣΗΣ ΕΠΙΧΕΙΡΗΣΕΩΝ ΚΑΙ ΟΡΓΑΝΙΣΜΩΝ </t>
  </si>
  <si>
    <t xml:space="preserve">ΔΙΟΙΚΗΤΙΚΗΣ ΕΠΙΣΤΗΜΗΣ ΚΑΙ ΤΕΧΝΟΛΟΓΙΑΣ </t>
  </si>
  <si>
    <t xml:space="preserve">ΕΠΙΣΤΗΜΗΣ ΔΙΑΤΡΟΦΗΣ ΚΑΙ ΔΙΑΙΤΟΛΟΓΙΑΣ </t>
  </si>
  <si>
    <t xml:space="preserve"> ΕΠΙΣΤΗΜΗΣ ΚΑΙ ΤΕΧΝΟΛΟΓΙΑΣ ΤΡΟΦΙΜΩΝ </t>
  </si>
  <si>
    <t xml:space="preserve"> ΗΛΕΚΤΡΟΛΟΓΩΝ ΜΗΧΑΝΙΚΩΝ ΚΑΙ ΜΗΧΑΝΙΚΩΝ ΥΠΟΛΟΓΙΣΤΩΝ </t>
  </si>
  <si>
    <t xml:space="preserve">ΘΕΑΤΡΙΚΩΝ ΣΠΟΥΔΩΝ </t>
  </si>
  <si>
    <t xml:space="preserve"> ΚΟΙΝΩΝΙΚΗΣ ΚΑΙ ΕΚΠΑΙΔΕΥΤΙΚΗΣ ΠΟΛΙΤΙΚΗΣ </t>
  </si>
  <si>
    <t xml:space="preserve">ΛΟΓΟΘΕΡΑΠΕΙΑΣ </t>
  </si>
  <si>
    <t xml:space="preserve">ΟΡΓΑΝΩΣΗΣ ΚΑΙ ΔΙΑΧΕΙΡΙΣΗΣ ΑΘΛΗΤΙΣΜΟΥ </t>
  </si>
  <si>
    <t xml:space="preserve">ΠΑΡΑΣΤΑΤΙΚΩΝ ΚΑΙ ΨΗΦΙΑΚΩΝ ΤΕΧΝΩΝ </t>
  </si>
  <si>
    <t xml:space="preserve"> ΠΛΗΡΟΦΟΡΙΚΗΣ ΚΑΙ ΤΗΛΕΠΙΚΟΙΝΩΝΙΩΝ </t>
  </si>
  <si>
    <t xml:space="preserve">ΠΟΛΙΤΙΚΗΣ ΕΠΙΣΤΗΜΗΣ ΚΑΙ ΔΙΕΘΝΩΝ ΣΧΕΣΕΩΝ </t>
  </si>
  <si>
    <t xml:space="preserve"> ΠΟΛΙΤΙΚΩΝ ΜΗΧΑΝΙΚΩΝ </t>
  </si>
  <si>
    <t>ΚΟΙΝΩΝΙΚΩΝ ΑΝΘΡΩΠΙΣΤΙΚΩΝ ΕΠΙΣΤΗΜΩΝ ΚΑΙ ΤΕΧΝΩΝ</t>
  </si>
  <si>
    <t>ΓΕΩΠΟΝΙΚΟ ΠΑΝΕΠΙΣΤΗΜΙΟ ΑΘΗΝΩΝ</t>
  </si>
  <si>
    <t xml:space="preserve"> ΕΚΠΑΙΔΕΥΤΙΚΟ ΙΔΡΥΜΑ</t>
  </si>
  <si>
    <t>ΠΑΝΕΠΙΣΤΗΜΙΟ ΔΥΤΙΚΗΣ ΜΑΚΕΔΟΝΙΑΣ ΠΑΛΙΑ ΠΡΟΓΡΑΜΜΑΤΑ ΣΠΟΥΔΩΝ ΤΟΥ ΠΡΩΗΝ ΤΕΙ ΔΥΤΙΚΗΣ ΜΑΚΕΔΟΝΙΑΣ</t>
  </si>
  <si>
    <t xml:space="preserve">ΕΙΣ. ΚΑΤ. ΕΠΙΣΤΗΜΗΣ ΚΑΙ ΤΕΧΝΟΛΟΓΙΑΣ ΥΠΟΛΟΓΙΣΤΩΝ </t>
  </si>
  <si>
    <t xml:space="preserve">ΕΙΣ. ΚΑΤ. ΠΛΗΡΟΦΟΡΙΑΚΩΝ ΣΥΣΤΗΜΑΤΩΝ </t>
  </si>
  <si>
    <t>ΘΕΟΛΟΓΙΚΗ</t>
  </si>
  <si>
    <t xml:space="preserve"> ΚΑΛΩΝ ΤΕΧΝΩΝ</t>
  </si>
  <si>
    <t xml:space="preserve">ΘΕΟΛΟΓΙΚΗ </t>
  </si>
  <si>
    <t xml:space="preserve">ΠΑΙΔΑΓΩΓΙΚΗ </t>
  </si>
  <si>
    <t xml:space="preserve"> ΕΠΙΣΤΗΜΩΝ ΦΥΣΙΚΗΣ ΑΓΩΓΗΣ ΚΑΙ ΑΘΛΗΤΙΣΜΟΥ</t>
  </si>
  <si>
    <t xml:space="preserve"> ΘΕΤΙΚΩΝ ΕΠΙΣΤΗΜΩΝ</t>
  </si>
  <si>
    <t xml:space="preserve"> ΚΟΙΝΩΝΙΚΩΝ ΚΑΙ ΟΙΚΟΝΟΜΙΚΩΝ ΕΠΙΣΤΗΜΩΝ</t>
  </si>
  <si>
    <t xml:space="preserve">ΦΙΛΟΣΟΦΙΚΗ </t>
  </si>
  <si>
    <t>ΓΕΩΠΟΝΙΑΣ, ΔΑΣΟΛΟΓΙΑΣ ΚΑΙ ΦΥΣΙΚΟΥ ΠΕΡΙΒΑΛΛΟΝΤΟΣ</t>
  </si>
  <si>
    <t xml:space="preserve"> ΕΠΙΣΤΗΜΩΝ ΥΓΕΙΑΣ</t>
  </si>
  <si>
    <t xml:space="preserve">ΕΠΙΣΤΗΜΩΝ ΤΩΝ ΦΥΤΩΝ  </t>
  </si>
  <si>
    <t xml:space="preserve">ΕΠΙΣΤΗΜΩΝ ΤΩΝ ΦΥΤΩΝ </t>
  </si>
  <si>
    <t>ΕΠΙΣΤΗΜΩΝ ΤΩΝ ΖΩΩΝ</t>
  </si>
  <si>
    <t xml:space="preserve">ΠΕΡΙΒΑΛΛΟΝΤΟΣ ΚΑΙ ΓΕΩΡΓΙΚΗΣ ΜΗΧΑΝΙΚΗΣ </t>
  </si>
  <si>
    <t>ΠΕΡΙΒΑΛΛΟΝΤΟΣ ΚΑΙ ΓΕΩΡΓΙΚΗΣ ΜΗΧΑΝΙΚΗΣ</t>
  </si>
  <si>
    <t>ΕΦΑΡΜΟΣΜΕΝΗΣ ΒΙΟΛΟΓΙΑΣ ΚΑΙ ΒΙΟΤΕΧΝΟΛΟΓΙΑΣ</t>
  </si>
  <si>
    <t xml:space="preserve">ΕΦΑΡΜΟΣΜΕΝΩΝ ΟΙΚΟΝΟΜΙΚΩΝ ΚΑΙ ΚΟΙΝΩΝΙΚΩΝ ΕΠΙΣΤΗΜΩΝ </t>
  </si>
  <si>
    <t xml:space="preserve">ΕΠΙΣΤΗΜΩΝ ΤΡΟΦΙΜΩΝ ΚΑΙ ΔΙΑΤΡΟΦΗΣ </t>
  </si>
  <si>
    <t xml:space="preserve"> ΑΝΘΡΩΠΙΣΤΙΚΩΝ ΕΠΙΣΤΗΜΩΝ</t>
  </si>
  <si>
    <t xml:space="preserve"> ΘΕΤΙΚΩΝ ΕΠΙΣΤΗΜΩΝ ΚΑΙ ΤΕΧΝΟΛΟΓΙΑΣ</t>
  </si>
  <si>
    <t xml:space="preserve"> ΚΟΙΝΩΝΙΚΩΝ ΕΠΙΣΤΗΜΩΝ</t>
  </si>
  <si>
    <t xml:space="preserve"> ΕΦΑΡΜΟΣΜΕΝΩΝ ΤΕΧΝΩΝ ΚΑΙ ΒΙΩΣΙΜΟΥ ΣΧΕΔΙΑΣΜΟΥ</t>
  </si>
  <si>
    <t xml:space="preserve"> ΟΙΚΟΝΟΜΙΚΩΝ ΚΑΙ ΠΟΛΙΤΙΚΩΝ ΕΠΙΣΤΗΜΩΝ</t>
  </si>
  <si>
    <t xml:space="preserve"> ΑΓΡΟΤΙΚΗΣ ΑΝΑΠΤΥΞΗΣ, ΔΙΑΤΡΟΦΗΣ ΚΑΙ ΑΕΙΦΟΡΙΑΣ</t>
  </si>
  <si>
    <t>ΕΠΙΣΤΗΜΗΣ ΤΗΣ ΠΛΗΡΟΦΟΡΙΑΣ ΚΑΙ ΠΛΗΡΟΦΟΡΙΚΗΣ</t>
  </si>
  <si>
    <t>ΤΕΧΝΩΝ ΗΧΟΥ ΚΑΙ ΕΙΚΟΝΑΣ</t>
  </si>
  <si>
    <t>ΑΝΘΡΩΠΙΣΤΙΚΩΝ ΕΠΙΣΤΗΜΩΝ</t>
  </si>
  <si>
    <t>ΕΠΙΣΤΗΜΩΝ ΤΗΣ ΔΙΟΙΚΗΣΗΣ</t>
  </si>
  <si>
    <t xml:space="preserve"> ΙΣΤΟΡΙΑΣ ΚΑΙ ΕΘΝΟΛΟΓΙΑΣ</t>
  </si>
  <si>
    <t>ΔΙΟΙΚΗΣΗΣ ΕΠΙΧΕΙΡΗΣΕΩΝ &amp; ΟΡΓΑΝΙΣΜΩΝ</t>
  </si>
  <si>
    <t>ΔΗΜΟΣΙΑΣ ΔΙΟΙΚΗΣΗΣ</t>
  </si>
  <si>
    <t>ΣΠΟΥΔΕΣ ΚΙΝΗΜΑΤΟΓΡΑΦΙΚΗΣ ΓΡΑΦΗΣ ΠΡΑΚΤΙΚΗΣ ΚΑΙ ΕΡΕΥΝΑΣ</t>
  </si>
  <si>
    <t>ΚΟΙΝΩΝΙΚΗΣ ΘΕΟΛΟΓΙΑΣ ΚΑΙ ΘΡΗΣΚΕΙΟΛΟΓΙΑΣ</t>
  </si>
  <si>
    <t>ΠΟΛΙΤΙΚΗΣ ΕΠΙΣΤΗΜΗΣ ΚΑΙ ΔΗΜΟΣΙΑΣ ΔΙΟΙΚΗΣΗΣ</t>
  </si>
  <si>
    <t>ΤΟΥΡΚΙΚΩΝ ΣΠΟΥΔΩΝ ΚΑΙ ΣΥΓΧΡΟΝΩΝ ΑΣΙΑΤΙΚΩΝ ΣΠΟΥΔΩΝ</t>
  </si>
  <si>
    <t>ΕΠΙΚΟΙΝΩΝΙΑΣ ΚΑΙ ΜΕΣΩΝ ΜΑΖΙΚΗΣ ΕΝΗΜΕΡΩΣΗΣ</t>
  </si>
  <si>
    <t>ΔΙΟΙΚΗΣΗΣ ΕΠΙΧΕΙΡΗΣΕΩΝ ΚΑΙ ΟΡΓΑΝΙΣΜΩΝ</t>
  </si>
  <si>
    <t>ΔΙΑΧΕΙΡΙΣΗΣ ΛΙΜΕΝΩΝ ΚΑΙ ΝΑΥΤΙΛΙΑΣ (ΨΑΧΝΑ)</t>
  </si>
  <si>
    <t>ΨΗΦΙΑΚΩΝ ΤΕΧΝΩΝ ΚΑΙ ΚΙΝΗΜΑΤΟΓΡΑΦΟΥ (ΨΑΧΝΑ)</t>
  </si>
  <si>
    <t xml:space="preserve"> ΙΣΤΟΡΙΑΣ ΚΑΙ ΑΡΧΑΙΟΛΟΓΙΑΣ</t>
  </si>
  <si>
    <t xml:space="preserve">ΦΙΛΟΣΟΦΙΑΣ  </t>
  </si>
  <si>
    <t xml:space="preserve"> ΙΤΑΛΙΚΗΣ ΓΛΩΣΣΑΣ ΚΑΙ ΦΙΛΟΛΟΓΙΑΣ</t>
  </si>
  <si>
    <t>ΙΣΠΑΝΙΚΗΣ ΓΛΩΣΣΑΣ ΚΑΙ ΦΙΛΟΛΟΓΙΑΣ</t>
  </si>
  <si>
    <t>ΘΕΑΤΡΙΚΩΝ ΣΠΟΥΔΩΝ</t>
  </si>
  <si>
    <t xml:space="preserve">ΜΟΥΣΙΚΩΝ ΣΠΟΥΔΩΝ </t>
  </si>
  <si>
    <t>ΡΩΣΙΚΗΣ ΓΛΩΣΣΑΣ ΚΑΙ ΦΙΛΟΛΟΓΙΑΣ ΚΑΙ ΣΛΑΒΙΚΩΝ ΣΠΟΥΔΩΝ</t>
  </si>
  <si>
    <t xml:space="preserve"> ΦΥΣΙΚΗΣ</t>
  </si>
  <si>
    <t xml:space="preserve"> ΧΗΜΕΙΑΣ</t>
  </si>
  <si>
    <t>ΓΕΩΛΟΓΙΑΣ ΚΑΙ ΓΕΩΠΕΡΙΒΑΛΛΟΝΤΟΣ</t>
  </si>
  <si>
    <t>ΠΛΗΡΟΦΟΡΙΚΗΣ KAI ΤΗΛΕΠΙΚΟΙΝΩΝΙΩΝ</t>
  </si>
  <si>
    <t xml:space="preserve"> ΙΣΤΟΡΙΑΣ ΚΑΙ ΦΙΛΟΣΟΦΙΑΣ ΤΗΣ ΕΠΙΣΤΗΜΗΣ</t>
  </si>
  <si>
    <t>ΑΕΡΟΔΙΑΣΤΗΜΙΚΗΣ ΕΠΙΣΤΗΜΗΣ ΚΑΙ ΤΕΧΝΟΛΟΓΙΑΣ (ΨΑΧΝΑ)</t>
  </si>
  <si>
    <t>ΤΕΧΝΟΛΟΓΙΩΝ ΨΗΦΙΑΚΗΣ ΒΙΟΜΗΧΑΝΙΑΣ (ΨΑΧΝΑ)</t>
  </si>
  <si>
    <t xml:space="preserve">ΙΑΤΡΙΚΗΣ </t>
  </si>
  <si>
    <t xml:space="preserve">ΟΔΟΝΤΙΑΤΡΙΚΗΣ </t>
  </si>
  <si>
    <t xml:space="preserve">ΦΑΡΜΑΚΕΥΤΙΚΗΣ </t>
  </si>
  <si>
    <t>ΕΚΠΑΙΔΕΥΣΗΣ ΚΑΙ ΑΓΩΓΗΣ ΣΤΗΝ ΠΡΟΣΧΟΛΙΚΗ ΗΛΙΚΙΑ</t>
  </si>
  <si>
    <t xml:space="preserve"> ΜΗΧΑΝΙΚΩΝ ΟΙΚΟΝΟΜΙΑΣ ΚΑΙ ΔΙΟΙΚΗΣΗΣ</t>
  </si>
  <si>
    <t>ΜΗΧΑΝΙΚΩΝ ΠΛΗΡΟΦΟΡΙΑΚΩΝ ΚΑΙ ΕΠΙΚΟΙΝΩΝΙΑΚΩΝ ΣΥΣΤΗΜΑΤΩΝ</t>
  </si>
  <si>
    <t>ΜΗΧΑΝΙΚΩΝ ΣΧΕΔΙΑΣΗΣ ΠΡΟΪΟΝΤΩΝ ΚΑΙ ΣΥΣΤΗΜΑΤΩΝ</t>
  </si>
  <si>
    <t>ΕΠΙΣΤΗΜΩΝ ΤΗΣ ΠΡΟΣΧΟΛΙΚΗΣ ΑΓΩΓΗΣ ΚΑΙ ΤΟΥ ΕΚΠΑΙΔΕΥΤΙΚΟΥ ΣΧΕΔΙΑΣΜΟΥ</t>
  </si>
  <si>
    <t xml:space="preserve"> ΜΕΣΟΓΕΙΑΚΩΝ ΣΠΟΥΔΩΝ</t>
  </si>
  <si>
    <t xml:space="preserve"> ΔΙΟΙΚΗΣΗΣ ΕΠΙΧΕΙΡΗΣΕΩΝ</t>
  </si>
  <si>
    <t>ΝΑΥΤΙΛΙΑΣ ΚΑΙ ΕΠΙΧΕΙΡΗΜΑΤΙΚΩΝ ΥΠΗΡΕΣΙΩΝ</t>
  </si>
  <si>
    <t>ΟΙΚΟΝΟΜΙΚΗΣ ΚΑΙ ΔΙΟΙΚΗΣΗΣ ΤΟΥΡΙΣΜΟΥ</t>
  </si>
  <si>
    <t>ΣΤΑΤΙΣΤΙΚΗΣ ΚΑΙ ΑΝΑΛΟΓΙΣΤΙΚΩΝ-ΧΡΗΜΑΤΟΟΙΚΟΝΟΜΙΚΩΝ ΜΑΘΗΜΑΤΙΚΩΝ</t>
  </si>
  <si>
    <t>ΚΟΙΝΩΝΙΚΗΣ ΑΝΘΡΩΠΟΛΟΓΙΑΣ ΚΑΙ ΙΣΤΟΡΙΑΣ</t>
  </si>
  <si>
    <t>ΠΟΛΙΤΙΣΜΙΚΗΣ ΤΕΧΝΟΛΟΓΙΑΣ ΚΑΙ ΕΠΙΚΟΙΝΩΝΙΑΣ</t>
  </si>
  <si>
    <t xml:space="preserve"> ΕΠΙΣΤΗΜΗΣ ΤΡΟΦΙΜΩΝ ΚΑΙ ΔΙΑΤΡΟΦΗΣ</t>
  </si>
  <si>
    <t>ΩΚΕΑΝΟΓΡΑΦΙΑΣ ΚΑΙ ΘΑΛΑΣΣΙΩΝ ΒΙΟΕΠΙΣΤΗΜΩΝ</t>
  </si>
  <si>
    <t xml:space="preserve">ΜΗΧΑΝΟΛΟΓΩΝ ΜΗΧΑΝΙΚΩΝ  </t>
  </si>
  <si>
    <t xml:space="preserve">ΜΗΧΑΝΙΚΩΝ ΟΡΥΚΤΩΝ ΠΟΡΩΝ </t>
  </si>
  <si>
    <t xml:space="preserve">ΜΗΧΑΝΙΚΩΝ ΣΧΕΔΙΑΣΗΣ ΠΡΟΪΟΝΤΩΝ ΚΑΙ ΣΥΣΤΗΜΑΤΩΝ </t>
  </si>
  <si>
    <t xml:space="preserve">ΠΕΡΙΦΕΡΕΙΑΚΗΣ ΚΑΙ ΔΙΑΣΥΝΟΡΙΑΚΗΣ ΑΝΑΠΤΥΞΗΣ </t>
  </si>
  <si>
    <t xml:space="preserve"> ΔΙΕΘΝΩΝ ΚΑΙ ΕΥΡΩΠΑΪΚΩΝ ΟΙΚΟΝΟΜΙΚΩΝ ΣΠΟΥΔΩΝ </t>
  </si>
  <si>
    <t xml:space="preserve">ΟΡΓΑΝΩΣΗΣ ΚΑΙ ΔΙΟΙΚΗΣΗΣ ΕΠΙΧΕΙΡΗΣΕΩΝ  </t>
  </si>
  <si>
    <t xml:space="preserve">ΣΤΑΤΙΣΤΙΚΗΣ ΚΑΙ ΑΣΦΑΛΙΣΤΙΚΗΣ ΕΠΙΣΤΗΜΗΣ  </t>
  </si>
  <si>
    <t xml:space="preserve">ΟΙΚΟΝΟΜΙΚΩΝ ΕΠΙΣΤΗΜΩΝ  </t>
  </si>
  <si>
    <t xml:space="preserve">ΨΥΧΟΛΟΓΙΑΣ </t>
  </si>
  <si>
    <t>ΕΠΙΚΟΙΝΩΝΙΑΣ ΚΑΙ ΨΗΦΙΑΚΩΝ ΜΕΣΩΝ</t>
  </si>
  <si>
    <t>ΜΗΧΑΝΙΚΩΝ ΠΕΡΙΒΑΛΛΟΝΤΟΣ &amp; ΑΝΤΙΡΡΥΠΑΝΣΗΣ ΤΕ - ΚΑΤΕΥΘΥΝΣΗΣ ΜΗΧΑΝΙΚΩΝ ΓΕΩΤΕΧΝΟΛΟΓΙΑΣ &amp; ΠΕΡΙΒΑΛΛΟΝΤΟΣ</t>
  </si>
  <si>
    <t>ΜΗΧΑΝΙΚΩΝ ΠΕΡΙΒΑΛΛΟΝΤΟΣ &amp; ΑΝΤΙΡΡΥΠΑΝΣΗΣ ΤΕ - ΚΑΤΕΥΘΥΝΣΗΣ ΜΗΧΑΝΙΚΩΝ ΑΝΤΙΡΡΥΠΑΝΣΗΣ</t>
  </si>
  <si>
    <t>ΔΙΕΘΝΟΥΣ ΕΜΠΟΡΙΟΥ ΤΕ</t>
  </si>
  <si>
    <t>ΜΗΧΑΝΟΛΟΓΩΝ ΜΗΧΑΝΙΚΩΝ &amp; ΒΙΟΜΗΧΑΝΙΚΟΥ ΣΧΕΔΙΑΣΜΟΥ ΤΕ - ΚΑΤΕΥΘΥΝΣΗΣ ΜΗΧΑΝΟΛΟΓΩΝ ΜΗΧΑΝΙΚΩΝ</t>
  </si>
  <si>
    <t>ΜΗΧΑΝΟΛΟΓΩΝ ΜΗΧΑΝΙΚΩΝ &amp; ΒΙΟΜΗΧΑΝΙΚΟΥ ΣΧΕΔΙΑΣΜΟΥ ΤΕ - ΚΑΤΕΥΘΥΝΣΗΣ ΒΙΟΜΗΧΑΝΙΚΟΥ ΣΧΕΔΙΑΣΜΟΥ</t>
  </si>
  <si>
    <t>ΜΗΧΑΝΙΚΩΝ ΠΛΗΡΟΦΟΡΙΚΗΣ ΤΕ</t>
  </si>
  <si>
    <t>ΨΗΦΙΑΚΩΝ ΜΕΣΩΝ ΚΑΙ ΕΠΙΚΟΙΝΩΝΙΑΣ ΤΕ</t>
  </si>
  <si>
    <t>ΤΜΗΜΑΤΑ ΣΧΟΛΗΣ ΓΕΩΠΟΝΙΑΣ ΤΕ</t>
  </si>
  <si>
    <t>ΓΕΩΠΟΝΙΑΣ ΙΧΘΥΟΛΟΓΙΑΣ ΚΑΙ ΥΔΑΤΙΝΟΥ ΠΕΡΙΒΑΛΛΟΝΤΟΣ</t>
  </si>
  <si>
    <t>ΓΕΩΠΟΝΙΑΣ ΦΥΤΙΚΗΣ ΠΑΡΑΓΩΓΗΣ ΚΑΙ ΑΓΡΟΤΙΚΟΥ ΠΕΡΙΒΑΛΛΟΝΤΟΣ</t>
  </si>
  <si>
    <t>ΙΣΤΟΡΙΑΣ ΑΡΧΑΙΟΛΟΓΙΑΣ ΚΑΙ ΚΟΙΝΩΝΙΚΗΣ ΑΝΘΡΩΠΟΛΟΓΙΑΣ</t>
  </si>
  <si>
    <t>ΜΗΧΑΝΙΚΩΝ ΧΩΡΟΤΑΞΙΑΣ ΠΟΛΕΟΔΟΜΙΑΣ ΚΑΙ ΠΕΡΙΦΕΡΕΙΑΚΗΣ ΑΝΑΠΤΥΞΗΣ</t>
  </si>
  <si>
    <t xml:space="preserve"> ΜΟΥΣΙΚΩΝ ΣΠΟΥΔΩΝ : ΠΠΣ ΠΕ</t>
  </si>
  <si>
    <t xml:space="preserve"> ΜΟΥΣΙΚΩΝ ΣΠΟΥΔΩΝ: ΠΠΣ ΤΕ ΛΑΪΚΗΣ ΚΑΙ ΠΑΡΑΔΟΣΙΑΚΗΣ ΜΟΥΣΙΚΗΣ</t>
  </si>
  <si>
    <t>ΒΑΛΚΑΝΙΚΩΝ ΣΛΑΒΙΚΩΝ ΚΑΙ ΑΝΑΤΟΛΙΚΩΝ ΣΠΟΥΔΩΝ</t>
  </si>
  <si>
    <t>ΕΠΙΣΤΗΜΗΣ ΤΩΝ ΥΛΙΚΩΝ</t>
  </si>
  <si>
    <t>ΗΛΕΚΤΡΟΛΟΓΩΝ ΜΗΧΑΝΙΚΩΝ ΚΑΙ ΤΕΧΝΟΛΟΓΙΑΣ ΥΠΟΛΟΓΙΣΤΩΝ</t>
  </si>
  <si>
    <t>ΜΗΧΑΝΙΚΩΝ Η/Υ ΚΑΙ ΠΛΗΡΟΦΟΡΙΚΗΣ</t>
  </si>
  <si>
    <t>ΜΗΧΑΝΟΛΟΓΩΝ ΚΑΙ ΑΕΡΟΝΑΥΠΗΓΩΝ ΜΗΧΑΝΙΚΩΝ</t>
  </si>
  <si>
    <t xml:space="preserve">ΔΙΑΧΕΙΡΙΣΗΣ ΠΕΡΙΒΑΛΛΟΝΤΟΣ ΚΑΙ ΦΥΣΙΚΩΝ ΠΟΡΩΝ </t>
  </si>
  <si>
    <t>ΕΠΙΣΤΗΜΩΝ ΤΗΣ ΕΚΠΑΙΔΕΥΣΗΣ ΚΑΙ ΤΗΣ ΑΓΩΓΗΣ ΣΤΗΝ ΠΡΟΣΧΟΛΙΚΗ ΗΛΙΚΙΑ</t>
  </si>
  <si>
    <t xml:space="preserve"> ΕΠΙΣΤΗΜΩΝ ΤΗΣ ΕΚΠΑΙΔΕΥΣΗΣ ΚΑΙ ΚΟΙΝΩΝΙΚΗΣ ΕΡΓΑΣΙΑΣ </t>
  </si>
  <si>
    <t xml:space="preserve"> ΙΣΤΟΡΙΑΣ - ΑΡΧΑΙΟΛΟΓΙΑΣ </t>
  </si>
  <si>
    <t>ΜΟΥΣΕΙΟΛΟΓΙΑΣ</t>
  </si>
  <si>
    <t>ΔΙΟΙΚΗΣΗΣ ΕΠΙΧΕΙΡΗΣΕΩΝ ΑΓΡΟΤΙΚΩΝ ΠΡΟΪΟΝΤΩΝ ΚΑΙ ΤΡΟΦΙΜΩΝ</t>
  </si>
  <si>
    <t xml:space="preserve"> ΝΟΣΗΛΕΥΤΙΚΗΣ</t>
  </si>
  <si>
    <t xml:space="preserve"> ΛΟΓΟΘΕΡΑΠΕΙΑΣ</t>
  </si>
  <si>
    <t>ΕΠΙΣΤΗΜΗΣ ΒΙΟΣΥΣΤΗΜΑΤΩΝ ΚΑΙ ΓΕΩΡΓΙΚΗΣ ΜΗΧΑΝΙΚΗΣ</t>
  </si>
  <si>
    <t>ΕΠΙΣΤΗΜΩΝ ΟΙΚΟΝΟΜΙΑΣ ΚΑΙ ΔΙΟΙΚΗΣΗΣ</t>
  </si>
  <si>
    <t>ΔΙΕΘΝΩΝ ΕΥΡΩΠΑΪΚΩΝ ΚΑΙ ΠΕΡΙΦΕΡΕΙΑΚΩΝ ΣΠΟΥΔΩΝ</t>
  </si>
  <si>
    <t>ΕΠΙΚΟΙΝΩΝΙΑΣ ΜΕΣΩΝ ΚΑΙ ΠΟΛΙΤΙΣΜΟΥ</t>
  </si>
  <si>
    <t xml:space="preserve">ΙΣΤΟΡΙΑΣ ΑΡΧΑΙΟΛΟΓΙΑΣ ΚΑΙ ΔΙΑΧΕΙΡΙΣΗΣ ΠΟΛΙΤΙΣΜΙΚΩΝ ΑΓΑΘΩΝ </t>
  </si>
  <si>
    <t>ΕΘΝΙΚΟ ΜΕΤΣΟΒΕΙΟ ΠΟΛΥΤΕΧΝΕΙΟ</t>
  </si>
  <si>
    <t>ΕΚΠΑΙΔΕΥΤΙΚΟ ΙΔΡΥΜΑ</t>
  </si>
  <si>
    <t>ΠΑΝΤΕΙΟ ΠΑΝΕΠΙΣΤΗΜΙΟ ΚΟΙΝΩΝΙΚΩΝ ΚΑΙ ΠΟΛΙΤΙΚΩΝ ΕΠΙΣΤΗΜΩΝ</t>
  </si>
  <si>
    <t xml:space="preserve">ΕΠΙΣΤΗΜΗΣ ΦΥΣΙΚΗΣ ΑΓΩΓΗΣ ΚΑΙ ΑΘΛΗΤΙΣΜΟΥ </t>
  </si>
  <si>
    <t>ΠΕΡΙΒΑΛΛΟΝΤΟΣ ΓΕΩΓΡΑΦΙΑΣ ΚΑΙ ΕΦΑΡΜΟΣΜΕΝΩΝ ΟΙΚΟΝΟΜΙΚΩΝ</t>
  </si>
  <si>
    <t>ΔΙΕΘΝΩΝ ΣΠΟΥΔΩΝ ΕΠΙΚΟΙΝΩΝΙΑΣ ΚΑΙ ΠΟΛΙΤΙΣΜΟΥ</t>
  </si>
  <si>
    <t>ΕΠΙΣΤΗΜΩΝ ΦΥΣΙΚΗΣ ΑΓΩΓΗΣ ΑΘΛΗΤΙΣΜΟΥ ΚΑΙ ΔΙΑΙΤΟΛΟΓΙΑΣ</t>
  </si>
  <si>
    <t>ΔΑΣΟΛΟΓΙΑΣ ΕΠΙΣΤΗΜΩΝ ΞΥΛΟΥ ΚΑΙ ΣΧΕΔΙΑΣΜΟΥ</t>
  </si>
  <si>
    <t>ΕΠΙΣΤΗΜΩΝ ΟΙΝΟΥ ΑΜΠΕΛΟΥ ΚΑΙ ΠΟΤΩΝ</t>
  </si>
  <si>
    <t>ΑΡΧΕΙΟΝΟΜΙΑΣ ΒΙΒΛΙΟΘΗΚΟΝΟΜΙΑΣ ΚΑΙ ΜΟΥΣΕΙΟΛΟΓΙΑΣ</t>
  </si>
  <si>
    <t xml:space="preserve"> ΑΓΡΟΤΙΚΗΣ ΑΝΑΠΤΥΞΗΣ ΑΓΡΟΔΙΑΤΡΟΦΗΣ ΚΑΙ ΔΙΑΧΕΙΡΙΣΗΣ ΦΥΣΙΚΩΝ ΠΟΡΩΝ (ΨΑΧΝΑ)</t>
  </si>
  <si>
    <t xml:space="preserve">ΜΗΧΑΝΙΚΩΝ ΠΛΗΡΟΦΟΡΙΚΗΣ ΥΠΟΛΟΓΙΣΤΩΝ ΚΑΙ ΤΗΛΕΠΙΚΟΙΝΩΝΙΩΝ </t>
  </si>
  <si>
    <t>ΒΙΒΛΙΟΘΗΚΟΝΟΜΙΑΣ ΑΡΧΕΙΟΝΟΜΙΑΣ ΚΑΙ ΣΥΣΤΗΜΑΤΩΝ ΠΛΗΡΟΦΟΡΗΣΗΣ</t>
  </si>
  <si>
    <t>ΔΙΟΙΚΗΣΗΣ ΟΙΚΟΝΟΜΙΑΣ ΚΑΙ ΕΠΙΚΟΙΝΩΝΙΑΣ ΠΟΛΙΤΙΣΤΙΚΩΝ ΚΑΙ ΤΟΥΡΙΣΤΙΚΩΝ ΜΟΝΑΔΩΝ (ΑΜΦΙΣΣΑ, ΠΡΩΗΝ Τ.Ε.Ι. ΣΤΕΡΕΑΣ ΕΛΛΑΔΑΣ ΕΩΣ 28.01.2019)</t>
  </si>
  <si>
    <t>ΠΕΡΙΦΕΡΕΙΑΚΗΣ ΚΑΙ ΟΙΚΟΝΟΜΙΚΗΣ ΑΝΑΠΤΥΞΗΣ (ΑΜΦΙΣΣΑ, ΑΠΟ ΤΟ ΑΚΑΔ. ΕΤΟΣ 2019-2020)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</si>
</sst>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9">
    <font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1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8"/>
      <name val="Calibri"/>
      <family val="2"/>
      <charset val="161"/>
      <scheme val="minor"/>
    </font>
    <font>
      <sz val="16"/>
      <name val="Calibri"/>
      <family val="2"/>
      <charset val="161"/>
      <scheme val="minor"/>
    </font>
    <font>
      <sz val="16"/>
      <color rgb="FFFF0000"/>
      <name val="Calibri"/>
      <family val="2"/>
      <charset val="161"/>
      <scheme val="minor"/>
    </font>
    <font>
      <sz val="20"/>
      <name val="Calibri"/>
      <family val="2"/>
      <scheme val="minor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sz val="9"/>
      <name val="Arial"/>
      <family val="2"/>
      <charset val="161"/>
    </font>
    <font>
      <b/>
      <sz val="11"/>
      <color theme="1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name val="Calibri"/>
      <family val="2"/>
      <charset val="161"/>
    </font>
    <font>
      <sz val="11"/>
      <color rgb="FF000000"/>
      <name val="Calibri"/>
      <family val="2"/>
      <charset val="161"/>
      <scheme val="minor"/>
    </font>
    <font>
      <b/>
      <sz val="11"/>
      <name val="Calibri"/>
      <family val="2"/>
      <charset val="161"/>
    </font>
    <font>
      <sz val="11"/>
      <color theme="5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sz val="11"/>
      <color theme="1"/>
      <name val="Arial"/>
      <family val="2"/>
      <charset val="161"/>
    </font>
    <font>
      <u/>
      <sz val="12"/>
      <color theme="1"/>
      <name val="Arial"/>
      <family val="2"/>
      <charset val="161"/>
    </font>
    <font>
      <i/>
      <sz val="11"/>
      <color theme="1"/>
      <name val="Arial"/>
      <family val="2"/>
      <charset val="161"/>
    </font>
    <font>
      <sz val="11"/>
      <color rgb="FFFF0000"/>
      <name val="Arial"/>
      <family val="2"/>
      <charset val="161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name val="Arial"/>
      <family val="2"/>
      <charset val="161"/>
    </font>
    <font>
      <b/>
      <sz val="9"/>
      <color rgb="FF00000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0"/>
      <color theme="1"/>
      <name val="Arial"/>
      <family val="2"/>
      <charset val="161"/>
    </font>
    <font>
      <b/>
      <sz val="14"/>
      <color theme="1"/>
      <name val="Calibri"/>
      <family val="2"/>
      <charset val="161"/>
    </font>
    <font>
      <sz val="11"/>
      <color theme="1" tint="0.499984740745262"/>
      <name val="Calibri"/>
      <family val="2"/>
      <charset val="161"/>
    </font>
    <font>
      <sz val="1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FF0000"/>
      <name val="Calibri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2"/>
      <color theme="1"/>
      <name val="Palatino Linotype"/>
      <family val="1"/>
      <charset val="161"/>
    </font>
    <font>
      <b/>
      <sz val="10"/>
      <color theme="1"/>
      <name val="Calibri"/>
      <family val="2"/>
      <charset val="161"/>
    </font>
    <font>
      <sz val="10"/>
      <name val="Calibri"/>
      <family val="2"/>
      <charset val="161"/>
    </font>
    <font>
      <b/>
      <sz val="10"/>
      <color rgb="FF000000"/>
      <name val="Calibri"/>
      <family val="2"/>
      <charset val="161"/>
    </font>
    <font>
      <sz val="10"/>
      <color theme="1"/>
      <name val="Calibri"/>
      <family val="2"/>
      <charset val="161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10"/>
      <color rgb="FF000000"/>
      <name val="Calibri"/>
      <family val="2"/>
      <charset val="161"/>
      <scheme val="minor"/>
    </font>
    <font>
      <sz val="10"/>
      <color rgb="FF000000"/>
      <name val="Calibri"/>
      <family val="2"/>
      <charset val="161"/>
    </font>
    <font>
      <sz val="10"/>
      <color rgb="FFFF0000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0"/>
      <color rgb="FF000000"/>
      <name val="MyCalibri"/>
      <family val="2"/>
    </font>
    <font>
      <b/>
      <sz val="10"/>
      <color rgb="FFFF0000"/>
      <name val="Calibri"/>
      <family val="2"/>
      <charset val="161"/>
      <scheme val="minor"/>
    </font>
    <font>
      <b/>
      <sz val="10"/>
      <color rgb="FF193200"/>
      <name val="Calibri"/>
      <family val="2"/>
      <charset val="161"/>
      <scheme val="minor"/>
    </font>
    <font>
      <b/>
      <sz val="10"/>
      <color rgb="FF336600"/>
      <name val="Calibri"/>
      <family val="2"/>
      <charset val="161"/>
      <scheme val="minor"/>
    </font>
    <font>
      <sz val="10"/>
      <color rgb="FF336600"/>
      <name val="Calibri"/>
      <family val="2"/>
      <charset val="161"/>
      <scheme val="minor"/>
    </font>
    <font>
      <b/>
      <u/>
      <sz val="10"/>
      <color rgb="FF336600"/>
      <name val="Calibri"/>
      <family val="2"/>
      <charset val="161"/>
      <scheme val="minor"/>
    </font>
    <font>
      <b/>
      <sz val="10"/>
      <color theme="5" tint="-0.249977111117893"/>
      <name val="Calibri"/>
      <family val="2"/>
      <charset val="161"/>
      <scheme val="minor"/>
    </font>
    <font>
      <sz val="10"/>
      <color theme="5" tint="-0.249977111117893"/>
      <name val="Calibri"/>
      <family val="2"/>
      <charset val="161"/>
      <scheme val="minor"/>
    </font>
    <font>
      <b/>
      <u/>
      <sz val="10"/>
      <color theme="5" tint="-0.249977111117893"/>
      <name val="Calibri"/>
      <family val="2"/>
      <charset val="161"/>
      <scheme val="minor"/>
    </font>
    <font>
      <b/>
      <sz val="10"/>
      <color rgb="FFC00000"/>
      <name val="Calibri"/>
      <family val="2"/>
      <charset val="161"/>
      <scheme val="minor"/>
    </font>
    <font>
      <sz val="10"/>
      <color rgb="FF193200"/>
      <name val="Calibri"/>
      <family val="2"/>
      <charset val="161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rgb="FF00B0F0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8" fillId="0" borderId="0"/>
    <xf numFmtId="0" fontId="44" fillId="0" borderId="0"/>
  </cellStyleXfs>
  <cellXfs count="460">
    <xf numFmtId="0" fontId="0" fillId="0" borderId="0" xfId="0"/>
    <xf numFmtId="0" fontId="1" fillId="2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>
      <alignment wrapText="1"/>
    </xf>
    <xf numFmtId="0" fontId="0" fillId="0" borderId="1" xfId="0" applyBorder="1"/>
    <xf numFmtId="0" fontId="9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/>
    <xf numFmtId="0" fontId="10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0" xfId="0" applyFont="1"/>
    <xf numFmtId="0" fontId="28" fillId="0" borderId="0" xfId="0" applyFont="1"/>
    <xf numFmtId="0" fontId="21" fillId="0" borderId="1" xfId="0" applyFont="1" applyBorder="1" applyAlignment="1">
      <alignment horizontal="center"/>
    </xf>
    <xf numFmtId="3" fontId="30" fillId="0" borderId="0" xfId="0" applyNumberFormat="1" applyFont="1"/>
    <xf numFmtId="3" fontId="31" fillId="0" borderId="0" xfId="0" applyNumberFormat="1" applyFont="1"/>
    <xf numFmtId="3" fontId="32" fillId="0" borderId="0" xfId="0" applyNumberFormat="1" applyFont="1" applyAlignment="1">
      <alignment horizontal="right"/>
    </xf>
    <xf numFmtId="3" fontId="33" fillId="0" borderId="0" xfId="0" applyNumberFormat="1" applyFont="1" applyAlignment="1">
      <alignment horizontal="right" vertical="center"/>
    </xf>
    <xf numFmtId="0" fontId="35" fillId="0" borderId="0" xfId="0" applyFont="1"/>
    <xf numFmtId="0" fontId="19" fillId="0" borderId="1" xfId="0" applyFont="1" applyBorder="1" applyAlignment="1">
      <alignment vertical="center"/>
    </xf>
    <xf numFmtId="3" fontId="18" fillId="0" borderId="1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/>
    </xf>
    <xf numFmtId="3" fontId="40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0" fontId="43" fillId="0" borderId="0" xfId="0" applyFont="1" applyAlignment="1">
      <alignment horizontal="center" wrapText="1"/>
    </xf>
    <xf numFmtId="0" fontId="43" fillId="0" borderId="0" xfId="0" applyFont="1"/>
    <xf numFmtId="0" fontId="44" fillId="0" borderId="0" xfId="7" applyAlignment="1">
      <alignment vertical="center"/>
    </xf>
    <xf numFmtId="0" fontId="44" fillId="0" borderId="0" xfId="7"/>
    <xf numFmtId="0" fontId="44" fillId="0" borderId="0" xfId="7" applyAlignment="1">
      <alignment horizontal="center" vertical="center"/>
    </xf>
    <xf numFmtId="0" fontId="46" fillId="0" borderId="0" xfId="7" applyFont="1" applyAlignment="1">
      <alignment horizontal="center" vertical="center"/>
    </xf>
    <xf numFmtId="0" fontId="48" fillId="2" borderId="1" xfId="0" applyFont="1" applyFill="1" applyBorder="1" applyAlignment="1" applyProtection="1">
      <alignment horizontal="center" vertical="center" wrapText="1"/>
      <protection locked="0"/>
    </xf>
    <xf numFmtId="0" fontId="49" fillId="0" borderId="0" xfId="0" applyFont="1" applyAlignment="1">
      <alignment horizontal="center"/>
    </xf>
    <xf numFmtId="0" fontId="45" fillId="0" borderId="0" xfId="7" applyFont="1" applyAlignment="1">
      <alignment wrapText="1"/>
    </xf>
    <xf numFmtId="0" fontId="44" fillId="0" borderId="0" xfId="7" applyAlignment="1">
      <alignment horizontal="center"/>
    </xf>
    <xf numFmtId="0" fontId="55" fillId="0" borderId="1" xfId="0" applyFont="1" applyBorder="1"/>
    <xf numFmtId="0" fontId="55" fillId="0" borderId="1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55" fillId="0" borderId="0" xfId="0" applyFont="1"/>
    <xf numFmtId="0" fontId="55" fillId="0" borderId="0" xfId="0" applyFont="1" applyAlignment="1">
      <alignment horizontal="center"/>
    </xf>
    <xf numFmtId="0" fontId="55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57" fillId="2" borderId="1" xfId="0" applyFont="1" applyFill="1" applyBorder="1" applyAlignment="1" applyProtection="1">
      <alignment horizontal="center" vertical="center" wrapText="1"/>
      <protection locked="0"/>
    </xf>
    <xf numFmtId="0" fontId="54" fillId="9" borderId="40" xfId="7" applyFont="1" applyFill="1" applyBorder="1" applyAlignment="1">
      <alignment horizontal="center" vertical="center" wrapText="1"/>
    </xf>
    <xf numFmtId="0" fontId="55" fillId="0" borderId="40" xfId="7" applyFont="1" applyBorder="1" applyAlignment="1">
      <alignment horizontal="center" vertical="center" wrapText="1"/>
    </xf>
    <xf numFmtId="0" fontId="55" fillId="0" borderId="40" xfId="7" applyFont="1" applyBorder="1" applyAlignment="1">
      <alignment horizontal="center"/>
    </xf>
    <xf numFmtId="0" fontId="24" fillId="0" borderId="44" xfId="7" applyFont="1" applyBorder="1" applyAlignment="1">
      <alignment horizontal="center"/>
    </xf>
    <xf numFmtId="0" fontId="55" fillId="9" borderId="40" xfId="7" applyFont="1" applyFill="1" applyBorder="1" applyAlignment="1">
      <alignment vertical="center" wrapText="1"/>
    </xf>
    <xf numFmtId="0" fontId="55" fillId="9" borderId="40" xfId="7" applyFont="1" applyFill="1" applyBorder="1" applyAlignment="1">
      <alignment horizontal="center" wrapText="1"/>
    </xf>
    <xf numFmtId="0" fontId="5" fillId="0" borderId="0" xfId="7" applyFont="1"/>
    <xf numFmtId="0" fontId="55" fillId="0" borderId="1" xfId="0" applyFont="1" applyBorder="1" applyAlignment="1">
      <alignment horizontal="center" vertical="center" wrapText="1"/>
    </xf>
    <xf numFmtId="0" fontId="48" fillId="2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7" fillId="0" borderId="1" xfId="0" applyFont="1" applyBorder="1" applyAlignment="1" applyProtection="1">
      <alignment horizontal="center" vertical="center" wrapText="1"/>
      <protection locked="0"/>
    </xf>
    <xf numFmtId="0" fontId="40" fillId="9" borderId="1" xfId="7" applyFont="1" applyFill="1" applyBorder="1" applyAlignment="1">
      <alignment horizontal="center" vertical="center" wrapText="1"/>
    </xf>
    <xf numFmtId="0" fontId="40" fillId="9" borderId="1" xfId="7" applyFont="1" applyFill="1" applyBorder="1" applyAlignment="1">
      <alignment vertical="center" wrapText="1"/>
    </xf>
    <xf numFmtId="0" fontId="55" fillId="0" borderId="1" xfId="7" applyFont="1" applyBorder="1" applyAlignment="1">
      <alignment vertical="center"/>
    </xf>
    <xf numFmtId="0" fontId="55" fillId="0" borderId="1" xfId="7" applyFont="1" applyBorder="1" applyAlignment="1">
      <alignment vertical="center" wrapText="1"/>
    </xf>
    <xf numFmtId="0" fontId="55" fillId="0" borderId="1" xfId="7" applyFont="1" applyBorder="1" applyAlignment="1">
      <alignment horizontal="center" vertical="center"/>
    </xf>
    <xf numFmtId="3" fontId="53" fillId="0" borderId="1" xfId="7" applyNumberFormat="1" applyFont="1" applyBorder="1" applyAlignment="1">
      <alignment horizontal="center" vertical="center"/>
    </xf>
    <xf numFmtId="0" fontId="61" fillId="0" borderId="1" xfId="7" applyFont="1" applyBorder="1" applyAlignment="1">
      <alignment horizontal="center" vertical="center"/>
    </xf>
    <xf numFmtId="0" fontId="62" fillId="0" borderId="1" xfId="7" applyFont="1" applyBorder="1" applyAlignment="1">
      <alignment horizontal="center" vertical="center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16" xfId="0" applyFont="1" applyBorder="1" applyAlignment="1" applyProtection="1">
      <alignment horizontal="center" vertical="center" wrapText="1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25" fillId="0" borderId="26" xfId="0" applyFont="1" applyBorder="1" applyAlignment="1">
      <alignment horizont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0" fontId="25" fillId="0" borderId="31" xfId="0" applyFont="1" applyBorder="1" applyAlignment="1">
      <alignment horizont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0" fontId="29" fillId="0" borderId="32" xfId="0" applyFont="1" applyBorder="1" applyAlignment="1">
      <alignment horizontal="center" wrapText="1"/>
    </xf>
    <xf numFmtId="0" fontId="29" fillId="0" borderId="33" xfId="0" applyFont="1" applyBorder="1" applyAlignment="1">
      <alignment horizontal="center" wrapText="1"/>
    </xf>
    <xf numFmtId="0" fontId="29" fillId="0" borderId="3" xfId="0" applyFont="1" applyBorder="1" applyAlignment="1">
      <alignment horizontal="center"/>
    </xf>
    <xf numFmtId="0" fontId="29" fillId="0" borderId="33" xfId="0" applyFont="1" applyBorder="1" applyAlignment="1">
      <alignment horizontal="center"/>
    </xf>
    <xf numFmtId="0" fontId="29" fillId="0" borderId="32" xfId="0" applyFont="1" applyBorder="1" applyAlignment="1">
      <alignment horizontal="center"/>
    </xf>
    <xf numFmtId="0" fontId="25" fillId="0" borderId="31" xfId="0" applyFont="1" applyBorder="1" applyAlignment="1">
      <alignment horizontal="center" vertical="center" wrapText="1"/>
    </xf>
    <xf numFmtId="0" fontId="5" fillId="0" borderId="0" xfId="4" applyAlignment="1">
      <alignment horizontal="center"/>
    </xf>
    <xf numFmtId="0" fontId="25" fillId="0" borderId="31" xfId="0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5" xfId="0" applyFont="1" applyBorder="1" applyAlignment="1">
      <alignment horizontal="center" wrapText="1"/>
    </xf>
    <xf numFmtId="0" fontId="27" fillId="0" borderId="32" xfId="0" applyFont="1" applyBorder="1" applyAlignment="1">
      <alignment horizontal="center" vertical="center" wrapText="1"/>
    </xf>
    <xf numFmtId="0" fontId="29" fillId="0" borderId="34" xfId="0" applyFont="1" applyBorder="1" applyAlignment="1">
      <alignment horizontal="center"/>
    </xf>
    <xf numFmtId="0" fontId="29" fillId="0" borderId="36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vertical="center"/>
    </xf>
    <xf numFmtId="0" fontId="42" fillId="0" borderId="10" xfId="0" applyFont="1" applyBorder="1" applyAlignment="1" applyProtection="1">
      <alignment horizontal="center" vertical="center" wrapText="1"/>
      <protection locked="0"/>
    </xf>
    <xf numFmtId="0" fontId="42" fillId="0" borderId="11" xfId="0" applyFont="1" applyBorder="1" applyAlignment="1" applyProtection="1">
      <alignment horizontal="center" vertical="center" wrapText="1"/>
      <protection locked="0"/>
    </xf>
    <xf numFmtId="0" fontId="42" fillId="0" borderId="21" xfId="0" applyFont="1" applyBorder="1" applyAlignment="1" applyProtection="1">
      <alignment horizontal="center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0" fontId="25" fillId="0" borderId="23" xfId="0" applyFont="1" applyBorder="1" applyAlignment="1" applyProtection="1">
      <alignment horizontal="center" vertical="center" wrapText="1"/>
      <protection locked="0"/>
    </xf>
    <xf numFmtId="0" fontId="25" fillId="0" borderId="24" xfId="0" applyFont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vertical="center" wrapText="1"/>
      <protection locked="0"/>
    </xf>
    <xf numFmtId="0" fontId="55" fillId="3" borderId="1" xfId="0" applyFont="1" applyFill="1" applyBorder="1" applyAlignment="1">
      <alignment horizontal="center"/>
    </xf>
    <xf numFmtId="0" fontId="55" fillId="0" borderId="1" xfId="0" applyFont="1" applyBorder="1" applyAlignment="1">
      <alignment wrapText="1"/>
    </xf>
    <xf numFmtId="0" fontId="55" fillId="0" borderId="0" xfId="0" applyFont="1" applyAlignment="1">
      <alignment vertical="center"/>
    </xf>
    <xf numFmtId="0" fontId="55" fillId="0" borderId="1" xfId="0" applyFont="1" applyBorder="1" applyAlignment="1">
      <alignment vertical="center"/>
    </xf>
    <xf numFmtId="0" fontId="55" fillId="0" borderId="1" xfId="0" applyFont="1" applyBorder="1" applyAlignment="1">
      <alignment horizontal="center" vertical="center"/>
    </xf>
    <xf numFmtId="0" fontId="55" fillId="0" borderId="1" xfId="0" applyFont="1" applyBorder="1" applyAlignment="1">
      <alignment vertical="center" wrapText="1"/>
    </xf>
    <xf numFmtId="0" fontId="57" fillId="0" borderId="1" xfId="0" applyFont="1" applyBorder="1" applyAlignment="1">
      <alignment horizontal="center" vertical="center"/>
    </xf>
    <xf numFmtId="0" fontId="55" fillId="3" borderId="1" xfId="0" applyFont="1" applyFill="1" applyBorder="1" applyAlignment="1">
      <alignment horizontal="center" vertical="center"/>
    </xf>
    <xf numFmtId="0" fontId="57" fillId="0" borderId="1" xfId="0" applyFont="1" applyBorder="1" applyAlignment="1">
      <alignment horizontal="center" vertical="center" wrapText="1"/>
    </xf>
    <xf numFmtId="0" fontId="57" fillId="2" borderId="1" xfId="0" applyFont="1" applyFill="1" applyBorder="1" applyAlignment="1" applyProtection="1">
      <alignment vertical="center" wrapText="1"/>
      <protection locked="0"/>
    </xf>
    <xf numFmtId="3" fontId="57" fillId="0" borderId="1" xfId="1" applyNumberFormat="1" applyFont="1" applyBorder="1" applyAlignment="1">
      <alignment horizontal="center" wrapText="1"/>
    </xf>
    <xf numFmtId="3" fontId="55" fillId="0" borderId="1" xfId="0" applyNumberFormat="1" applyFont="1" applyBorder="1" applyAlignment="1">
      <alignment horizontal="center"/>
    </xf>
    <xf numFmtId="3" fontId="54" fillId="7" borderId="1" xfId="0" applyNumberFormat="1" applyFont="1" applyFill="1" applyBorder="1" applyAlignment="1">
      <alignment horizontal="center"/>
    </xf>
    <xf numFmtId="3" fontId="57" fillId="6" borderId="1" xfId="0" applyNumberFormat="1" applyFont="1" applyFill="1" applyBorder="1" applyAlignment="1" applyProtection="1">
      <alignment horizontal="center" wrapText="1"/>
      <protection locked="0"/>
    </xf>
    <xf numFmtId="0" fontId="57" fillId="0" borderId="1" xfId="0" applyFont="1" applyBorder="1"/>
    <xf numFmtId="0" fontId="55" fillId="0" borderId="1" xfId="0" applyFont="1" applyBorder="1" applyAlignment="1">
      <alignment horizontal="center" wrapText="1"/>
    </xf>
    <xf numFmtId="0" fontId="55" fillId="0" borderId="0" xfId="0" applyFont="1" applyAlignment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63" fillId="0" borderId="0" xfId="0" applyFont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57" fillId="3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8" fillId="0" borderId="1" xfId="0" applyFont="1" applyBorder="1" applyAlignment="1">
      <alignment wrapText="1"/>
    </xf>
    <xf numFmtId="0" fontId="57" fillId="0" borderId="1" xfId="0" applyFont="1" applyBorder="1" applyAlignment="1">
      <alignment wrapText="1"/>
    </xf>
    <xf numFmtId="0" fontId="57" fillId="0" borderId="6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/>
    </xf>
    <xf numFmtId="0" fontId="51" fillId="3" borderId="3" xfId="0" applyFont="1" applyFill="1" applyBorder="1" applyAlignment="1" applyProtection="1">
      <alignment horizontal="center" vertical="center" wrapText="1"/>
      <protection locked="0"/>
    </xf>
    <xf numFmtId="0" fontId="51" fillId="3" borderId="1" xfId="0" applyFont="1" applyFill="1" applyBorder="1" applyAlignment="1" applyProtection="1">
      <alignment horizontal="center" vertical="center" wrapText="1"/>
      <protection locked="0"/>
    </xf>
    <xf numFmtId="0" fontId="61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48" fillId="0" borderId="1" xfId="0" applyFont="1" applyBorder="1" applyAlignment="1" applyProtection="1">
      <alignment vertical="center" wrapText="1"/>
      <protection locked="0"/>
    </xf>
    <xf numFmtId="0" fontId="57" fillId="0" borderId="1" xfId="0" applyFont="1" applyBorder="1" applyAlignment="1" applyProtection="1">
      <alignment vertical="center" wrapText="1"/>
      <protection locked="0"/>
    </xf>
    <xf numFmtId="0" fontId="55" fillId="0" borderId="1" xfId="0" applyFont="1" applyBorder="1" applyAlignment="1">
      <alignment vertical="top"/>
    </xf>
    <xf numFmtId="0" fontId="65" fillId="0" borderId="1" xfId="0" applyFont="1" applyBorder="1" applyAlignment="1">
      <alignment horizontal="left" vertical="top" wrapText="1"/>
    </xf>
    <xf numFmtId="0" fontId="65" fillId="0" borderId="1" xfId="6" applyFont="1" applyBorder="1" applyAlignment="1">
      <alignment vertical="top" wrapText="1"/>
    </xf>
    <xf numFmtId="0" fontId="65" fillId="0" borderId="1" xfId="6" applyFont="1" applyBorder="1" applyAlignment="1">
      <alignment horizontal="center" vertical="top" wrapText="1"/>
    </xf>
    <xf numFmtId="0" fontId="65" fillId="0" borderId="1" xfId="0" applyFont="1" applyBorder="1" applyAlignment="1">
      <alignment vertical="top" wrapText="1"/>
    </xf>
    <xf numFmtId="0" fontId="65" fillId="0" borderId="1" xfId="0" applyFont="1" applyBorder="1" applyAlignment="1">
      <alignment horizontal="center" vertical="top" wrapText="1"/>
    </xf>
    <xf numFmtId="0" fontId="48" fillId="0" borderId="1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3" fontId="68" fillId="0" borderId="1" xfId="0" applyNumberFormat="1" applyFont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 wrapText="1"/>
    </xf>
    <xf numFmtId="3" fontId="74" fillId="0" borderId="1" xfId="0" applyNumberFormat="1" applyFont="1" applyBorder="1" applyAlignment="1">
      <alignment horizontal="center" vertical="center" wrapText="1"/>
    </xf>
    <xf numFmtId="3" fontId="68" fillId="0" borderId="1" xfId="0" applyNumberFormat="1" applyFont="1" applyBorder="1" applyAlignment="1">
      <alignment horizontal="center" vertical="center"/>
    </xf>
    <xf numFmtId="3" fontId="69" fillId="0" borderId="1" xfId="0" applyNumberFormat="1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75" fillId="0" borderId="7" xfId="0" applyFont="1" applyBorder="1" applyAlignment="1">
      <alignment horizontal="center" vertical="center" wrapText="1"/>
    </xf>
    <xf numFmtId="3" fontId="66" fillId="0" borderId="1" xfId="0" applyNumberFormat="1" applyFont="1" applyBorder="1" applyAlignment="1">
      <alignment horizontal="center" vertical="center" wrapText="1"/>
    </xf>
    <xf numFmtId="49" fontId="57" fillId="0" borderId="1" xfId="0" applyNumberFormat="1" applyFont="1" applyBorder="1" applyAlignment="1">
      <alignment horizontal="left" wrapText="1"/>
    </xf>
    <xf numFmtId="0" fontId="57" fillId="0" borderId="1" xfId="0" applyFont="1" applyBorder="1" applyAlignment="1">
      <alignment horizontal="left"/>
    </xf>
    <xf numFmtId="0" fontId="57" fillId="0" borderId="1" xfId="0" applyFont="1" applyBorder="1" applyAlignment="1">
      <alignment horizontal="left" vertical="center" wrapText="1"/>
    </xf>
    <xf numFmtId="49" fontId="57" fillId="0" borderId="1" xfId="0" applyNumberFormat="1" applyFont="1" applyBorder="1" applyAlignment="1">
      <alignment wrapText="1"/>
    </xf>
    <xf numFmtId="49" fontId="57" fillId="0" borderId="1" xfId="0" applyNumberFormat="1" applyFont="1" applyBorder="1" applyAlignment="1">
      <alignment horizontal="left" vertical="center" wrapText="1"/>
    </xf>
    <xf numFmtId="0" fontId="77" fillId="0" borderId="1" xfId="0" applyFont="1" applyBorder="1" applyAlignment="1">
      <alignment wrapText="1"/>
    </xf>
    <xf numFmtId="0" fontId="77" fillId="0" borderId="1" xfId="0" applyFont="1" applyBorder="1" applyAlignment="1">
      <alignment vertical="center" wrapText="1"/>
    </xf>
    <xf numFmtId="0" fontId="77" fillId="0" borderId="1" xfId="0" applyFont="1" applyBorder="1"/>
    <xf numFmtId="0" fontId="57" fillId="0" borderId="1" xfId="0" applyFont="1" applyBorder="1" applyAlignment="1">
      <alignment vertical="center" wrapText="1"/>
    </xf>
    <xf numFmtId="0" fontId="76" fillId="0" borderId="1" xfId="0" applyFont="1" applyBorder="1" applyAlignment="1">
      <alignment horizontal="center" vertical="center" wrapText="1"/>
    </xf>
    <xf numFmtId="0" fontId="77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0" fontId="38" fillId="0" borderId="1" xfId="0" applyFont="1" applyBorder="1" applyAlignment="1">
      <alignment horizontal="left" wrapText="1"/>
    </xf>
    <xf numFmtId="0" fontId="64" fillId="0" borderId="1" xfId="0" applyFont="1" applyBorder="1" applyAlignment="1">
      <alignment horizontal="left" wrapText="1"/>
    </xf>
    <xf numFmtId="0" fontId="57" fillId="0" borderId="2" xfId="0" applyFont="1" applyBorder="1" applyAlignment="1">
      <alignment horizontal="left" wrapText="1"/>
    </xf>
    <xf numFmtId="0" fontId="64" fillId="0" borderId="1" xfId="0" applyFont="1" applyBorder="1" applyAlignment="1">
      <alignment horizontal="center"/>
    </xf>
    <xf numFmtId="0" fontId="38" fillId="3" borderId="1" xfId="0" applyFont="1" applyFill="1" applyBorder="1" applyAlignment="1">
      <alignment horizontal="left" wrapText="1"/>
    </xf>
    <xf numFmtId="0" fontId="64" fillId="3" borderId="1" xfId="0" applyFont="1" applyFill="1" applyBorder="1" applyAlignment="1">
      <alignment horizontal="left" wrapText="1"/>
    </xf>
    <xf numFmtId="0" fontId="57" fillId="3" borderId="2" xfId="0" applyFont="1" applyFill="1" applyBorder="1" applyAlignment="1">
      <alignment horizontal="left" wrapText="1"/>
    </xf>
    <xf numFmtId="0" fontId="38" fillId="4" borderId="1" xfId="0" applyFont="1" applyFill="1" applyBorder="1" applyAlignment="1">
      <alignment horizontal="left" wrapText="1"/>
    </xf>
    <xf numFmtId="0" fontId="64" fillId="4" borderId="1" xfId="0" applyFont="1" applyFill="1" applyBorder="1" applyAlignment="1">
      <alignment horizontal="left" wrapText="1"/>
    </xf>
    <xf numFmtId="0" fontId="57" fillId="4" borderId="2" xfId="0" applyFont="1" applyFill="1" applyBorder="1" applyAlignment="1">
      <alignment horizontal="left" wrapText="1"/>
    </xf>
    <xf numFmtId="0" fontId="64" fillId="0" borderId="2" xfId="0" applyFont="1" applyBorder="1" applyAlignment="1">
      <alignment horizontal="center"/>
    </xf>
    <xf numFmtId="0" fontId="55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7" fillId="0" borderId="1" xfId="5" applyFont="1" applyBorder="1" applyAlignment="1">
      <alignment wrapText="1"/>
    </xf>
    <xf numFmtId="0" fontId="57" fillId="0" borderId="1" xfId="0" applyFont="1" applyBorder="1" applyAlignment="1">
      <alignment horizontal="left" wrapText="1"/>
    </xf>
    <xf numFmtId="0" fontId="0" fillId="3" borderId="2" xfId="0" applyFill="1" applyBorder="1" applyAlignment="1">
      <alignment horizontal="center"/>
    </xf>
    <xf numFmtId="0" fontId="64" fillId="3" borderId="1" xfId="0" applyFont="1" applyFill="1" applyBorder="1" applyAlignment="1">
      <alignment horizontal="center"/>
    </xf>
    <xf numFmtId="3" fontId="0" fillId="0" borderId="0" xfId="0" applyNumberFormat="1"/>
    <xf numFmtId="3" fontId="39" fillId="0" borderId="1" xfId="0" applyNumberFormat="1" applyFont="1" applyBorder="1" applyAlignment="1">
      <alignment wrapText="1"/>
    </xf>
    <xf numFmtId="0" fontId="57" fillId="2" borderId="5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>
      <alignment horizontal="left" vertical="center"/>
    </xf>
    <xf numFmtId="0" fontId="55" fillId="0" borderId="1" xfId="0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63" fillId="0" borderId="1" xfId="0" applyFont="1" applyBorder="1" applyAlignment="1">
      <alignment horizontal="center" vertical="center" wrapText="1"/>
    </xf>
    <xf numFmtId="0" fontId="61" fillId="0" borderId="1" xfId="6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1" fillId="0" borderId="2" xfId="6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57" fillId="0" borderId="2" xfId="0" applyFont="1" applyBorder="1" applyAlignment="1">
      <alignment horizontal="center" vertical="center" wrapText="1"/>
    </xf>
    <xf numFmtId="0" fontId="55" fillId="0" borderId="6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 wrapText="1"/>
    </xf>
    <xf numFmtId="3" fontId="55" fillId="0" borderId="1" xfId="0" applyNumberFormat="1" applyFont="1" applyBorder="1" applyAlignment="1">
      <alignment horizontal="center" vertical="center"/>
    </xf>
    <xf numFmtId="3" fontId="57" fillId="0" borderId="1" xfId="0" applyNumberFormat="1" applyFont="1" applyBorder="1" applyAlignment="1">
      <alignment horizontal="center" vertical="center"/>
    </xf>
    <xf numFmtId="0" fontId="55" fillId="0" borderId="40" xfId="7" applyFont="1" applyBorder="1" applyAlignment="1">
      <alignment horizontal="center" vertical="center"/>
    </xf>
    <xf numFmtId="0" fontId="0" fillId="3" borderId="0" xfId="0" applyFill="1"/>
    <xf numFmtId="0" fontId="55" fillId="0" borderId="1" xfId="4" applyFont="1" applyBorder="1" applyAlignment="1">
      <alignment horizontal="center" vertical="center"/>
    </xf>
    <xf numFmtId="0" fontId="55" fillId="0" borderId="45" xfId="7" applyFont="1" applyBorder="1" applyAlignment="1">
      <alignment horizontal="center" vertical="center"/>
    </xf>
    <xf numFmtId="0" fontId="57" fillId="0" borderId="1" xfId="0" applyFont="1" applyBorder="1" applyAlignment="1">
      <alignment horizontal="left" vertical="center"/>
    </xf>
    <xf numFmtId="0" fontId="55" fillId="0" borderId="7" xfId="0" applyFont="1" applyBorder="1" applyAlignment="1">
      <alignment horizontal="left" vertical="center" wrapText="1"/>
    </xf>
    <xf numFmtId="0" fontId="55" fillId="0" borderId="2" xfId="0" applyFont="1" applyBorder="1" applyAlignment="1">
      <alignment horizontal="left" vertical="center" wrapText="1"/>
    </xf>
    <xf numFmtId="3" fontId="55" fillId="0" borderId="1" xfId="0" applyNumberFormat="1" applyFont="1" applyBorder="1" applyAlignment="1">
      <alignment horizontal="left" vertical="center" wrapText="1"/>
    </xf>
    <xf numFmtId="0" fontId="55" fillId="0" borderId="5" xfId="0" applyFont="1" applyBorder="1" applyAlignment="1">
      <alignment horizontal="left" vertical="center"/>
    </xf>
    <xf numFmtId="0" fontId="55" fillId="0" borderId="8" xfId="0" applyFont="1" applyBorder="1" applyAlignment="1">
      <alignment horizontal="left" vertical="center" wrapText="1"/>
    </xf>
    <xf numFmtId="0" fontId="55" fillId="0" borderId="5" xfId="0" applyFont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left" vertical="top" wrapText="1"/>
    </xf>
    <xf numFmtId="0" fontId="4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78" fillId="0" borderId="0" xfId="0" applyFont="1" applyAlignment="1">
      <alignment horizontal="center"/>
    </xf>
    <xf numFmtId="0" fontId="78" fillId="0" borderId="0" xfId="0" applyFont="1"/>
    <xf numFmtId="0" fontId="55" fillId="0" borderId="4" xfId="0" applyFont="1" applyBorder="1" applyAlignment="1">
      <alignment horizontal="left" vertical="center"/>
    </xf>
    <xf numFmtId="0" fontId="55" fillId="0" borderId="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5" fillId="3" borderId="2" xfId="0" applyFont="1" applyFill="1" applyBorder="1" applyAlignment="1">
      <alignment horizontal="left" vertical="center" wrapText="1"/>
    </xf>
    <xf numFmtId="0" fontId="55" fillId="3" borderId="1" xfId="0" applyFont="1" applyFill="1" applyBorder="1" applyAlignment="1">
      <alignment horizontal="left" vertical="center"/>
    </xf>
    <xf numFmtId="0" fontId="55" fillId="5" borderId="1" xfId="0" applyFont="1" applyFill="1" applyBorder="1" applyAlignment="1">
      <alignment horizontal="left" vertical="center"/>
    </xf>
    <xf numFmtId="0" fontId="55" fillId="5" borderId="1" xfId="0" applyFont="1" applyFill="1" applyBorder="1" applyAlignment="1">
      <alignment horizontal="left" vertical="center" wrapText="1"/>
    </xf>
    <xf numFmtId="0" fontId="55" fillId="5" borderId="2" xfId="0" applyFont="1" applyFill="1" applyBorder="1" applyAlignment="1">
      <alignment horizontal="left" vertical="center" wrapText="1"/>
    </xf>
    <xf numFmtId="0" fontId="55" fillId="3" borderId="1" xfId="0" applyFont="1" applyFill="1" applyBorder="1" applyAlignment="1">
      <alignment horizontal="left" vertical="center" wrapText="1"/>
    </xf>
    <xf numFmtId="0" fontId="57" fillId="3" borderId="1" xfId="0" applyFont="1" applyFill="1" applyBorder="1" applyAlignment="1">
      <alignment horizontal="left" vertical="center"/>
    </xf>
    <xf numFmtId="0" fontId="55" fillId="3" borderId="8" xfId="0" applyFont="1" applyFill="1" applyBorder="1" applyAlignment="1">
      <alignment horizontal="left" vertical="center"/>
    </xf>
    <xf numFmtId="0" fontId="57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 wrapText="1"/>
    </xf>
    <xf numFmtId="0" fontId="64" fillId="0" borderId="5" xfId="0" applyFont="1" applyBorder="1" applyAlignment="1">
      <alignment horizontal="center" vertical="center" wrapText="1"/>
    </xf>
    <xf numFmtId="0" fontId="64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43" fillId="0" borderId="7" xfId="0" applyFont="1" applyBorder="1" applyAlignment="1">
      <alignment horizontal="left" vertical="top" wrapText="1"/>
    </xf>
    <xf numFmtId="0" fontId="64" fillId="0" borderId="2" xfId="0" applyFont="1" applyBorder="1" applyAlignment="1">
      <alignment horizontal="left" wrapText="1"/>
    </xf>
    <xf numFmtId="0" fontId="55" fillId="0" borderId="7" xfId="0" applyFont="1" applyBorder="1" applyAlignment="1">
      <alignment horizontal="left" vertical="center"/>
    </xf>
    <xf numFmtId="0" fontId="55" fillId="0" borderId="2" xfId="0" applyFont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 wrapText="1"/>
    </xf>
    <xf numFmtId="0" fontId="55" fillId="0" borderId="6" xfId="0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top" wrapText="1"/>
    </xf>
    <xf numFmtId="0" fontId="55" fillId="0" borderId="39" xfId="7" applyFont="1" applyBorder="1" applyAlignment="1">
      <alignment horizontal="center" vertical="center"/>
    </xf>
    <xf numFmtId="0" fontId="55" fillId="0" borderId="47" xfId="7" applyFont="1" applyBorder="1" applyAlignment="1">
      <alignment horizontal="center" vertical="center"/>
    </xf>
    <xf numFmtId="0" fontId="48" fillId="10" borderId="1" xfId="0" applyFont="1" applyFill="1" applyBorder="1" applyAlignment="1" applyProtection="1">
      <alignment horizontal="left" vertical="center" wrapText="1"/>
      <protection locked="0"/>
    </xf>
    <xf numFmtId="0" fontId="48" fillId="10" borderId="2" xfId="0" applyFont="1" applyFill="1" applyBorder="1" applyAlignment="1" applyProtection="1">
      <alignment horizontal="left" vertical="center"/>
      <protection locked="0"/>
    </xf>
    <xf numFmtId="0" fontId="57" fillId="10" borderId="1" xfId="0" applyFont="1" applyFill="1" applyBorder="1" applyAlignment="1" applyProtection="1">
      <alignment horizontal="left" vertical="center" wrapText="1"/>
      <protection locked="0"/>
    </xf>
    <xf numFmtId="0" fontId="57" fillId="10" borderId="1" xfId="0" applyFont="1" applyFill="1" applyBorder="1" applyAlignment="1" applyProtection="1">
      <alignment horizontal="left" vertical="center"/>
      <protection locked="0"/>
    </xf>
    <xf numFmtId="0" fontId="57" fillId="10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6" fillId="10" borderId="2" xfId="0" applyFont="1" applyFill="1" applyBorder="1" applyAlignment="1">
      <alignment horizontal="center" vertical="center" wrapText="1"/>
    </xf>
    <xf numFmtId="0" fontId="56" fillId="10" borderId="3" xfId="0" applyFont="1" applyFill="1" applyBorder="1" applyAlignment="1">
      <alignment horizontal="center" vertical="center" wrapText="1"/>
    </xf>
    <xf numFmtId="0" fontId="48" fillId="10" borderId="2" xfId="0" applyFont="1" applyFill="1" applyBorder="1" applyAlignment="1" applyProtection="1">
      <alignment horizontal="center" vertical="center" wrapText="1"/>
      <protection locked="0"/>
    </xf>
    <xf numFmtId="0" fontId="55" fillId="10" borderId="3" xfId="0" applyFont="1" applyFill="1" applyBorder="1" applyAlignment="1">
      <alignment horizontal="center" vertical="center" wrapText="1"/>
    </xf>
    <xf numFmtId="0" fontId="57" fillId="10" borderId="3" xfId="0" applyFont="1" applyFill="1" applyBorder="1" applyAlignment="1">
      <alignment horizontal="center" vertical="center" wrapText="1"/>
    </xf>
    <xf numFmtId="0" fontId="54" fillId="10" borderId="46" xfId="0" applyFont="1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8" fillId="0" borderId="2" xfId="0" applyFont="1" applyBorder="1" applyAlignment="1" applyProtection="1">
      <alignment horizontal="center" vertical="center" wrapText="1"/>
      <protection locked="0"/>
    </xf>
    <xf numFmtId="0" fontId="57" fillId="0" borderId="3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6" fillId="0" borderId="3" xfId="0" applyFont="1" applyBorder="1" applyAlignment="1">
      <alignment horizontal="center" vertical="center" wrapText="1"/>
    </xf>
    <xf numFmtId="0" fontId="50" fillId="2" borderId="2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0" fontId="50" fillId="2" borderId="2" xfId="0" applyFont="1" applyFill="1" applyBorder="1" applyAlignment="1">
      <alignment horizontal="center" wrapText="1"/>
    </xf>
    <xf numFmtId="0" fontId="55" fillId="0" borderId="3" xfId="0" applyFont="1" applyBorder="1" applyAlignment="1">
      <alignment horizont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wrapText="1"/>
    </xf>
    <xf numFmtId="0" fontId="55" fillId="0" borderId="1" xfId="0" applyFont="1" applyBorder="1" applyAlignment="1">
      <alignment horizontal="center" wrapText="1"/>
    </xf>
    <xf numFmtId="0" fontId="56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66" fillId="0" borderId="2" xfId="0" applyNumberFormat="1" applyFont="1" applyBorder="1" applyAlignment="1">
      <alignment horizontal="center" vertical="center" wrapText="1"/>
    </xf>
    <xf numFmtId="0" fontId="66" fillId="0" borderId="2" xfId="0" applyFont="1" applyBorder="1" applyAlignment="1">
      <alignment horizontal="right" vertical="center" wrapText="1"/>
    </xf>
    <xf numFmtId="0" fontId="66" fillId="0" borderId="8" xfId="0" applyFont="1" applyBorder="1" applyAlignment="1">
      <alignment horizontal="right" vertical="center" wrapText="1"/>
    </xf>
    <xf numFmtId="0" fontId="66" fillId="0" borderId="3" xfId="0" applyFont="1" applyBorder="1" applyAlignment="1">
      <alignment horizontal="right" vertical="center" wrapText="1"/>
    </xf>
    <xf numFmtId="0" fontId="48" fillId="0" borderId="2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" xfId="0" applyFont="1" applyBorder="1" applyAlignment="1">
      <alignment horizontal="center" vertical="center" wrapText="1"/>
    </xf>
    <xf numFmtId="0" fontId="67" fillId="0" borderId="7" xfId="0" applyFont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justify" wrapText="1"/>
    </xf>
    <xf numFmtId="0" fontId="48" fillId="0" borderId="4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6" xfId="0" applyFont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>
      <alignment horizontal="center" vertical="center"/>
    </xf>
    <xf numFmtId="0" fontId="58" fillId="2" borderId="1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8" fillId="2" borderId="2" xfId="0" applyFont="1" applyFill="1" applyBorder="1" applyAlignment="1" applyProtection="1">
      <alignment horizontal="center" vertical="center" wrapText="1"/>
      <protection locked="0"/>
    </xf>
    <xf numFmtId="0" fontId="64" fillId="0" borderId="5" xfId="0" applyFont="1" applyBorder="1" applyAlignment="1">
      <alignment horizontal="center" vertical="center" wrapText="1"/>
    </xf>
    <xf numFmtId="0" fontId="64" fillId="0" borderId="6" xfId="0" applyFont="1" applyBorder="1" applyAlignment="1">
      <alignment horizontal="center" vertical="center" wrapText="1"/>
    </xf>
    <xf numFmtId="0" fontId="64" fillId="0" borderId="7" xfId="0" applyFon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48" fillId="2" borderId="1" xfId="0" applyFont="1" applyFill="1" applyBorder="1" applyAlignment="1" applyProtection="1">
      <alignment horizontal="center" vertical="center" wrapText="1"/>
      <protection locked="0"/>
    </xf>
    <xf numFmtId="0" fontId="54" fillId="2" borderId="1" xfId="0" applyFont="1" applyFill="1" applyBorder="1" applyAlignment="1">
      <alignment horizontal="center" vertical="center" wrapText="1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textRotation="180" wrapText="1"/>
    </xf>
    <xf numFmtId="0" fontId="54" fillId="0" borderId="1" xfId="0" applyFont="1" applyBorder="1" applyAlignment="1">
      <alignment horizontal="center" vertical="center" textRotation="180"/>
    </xf>
    <xf numFmtId="0" fontId="55" fillId="0" borderId="1" xfId="0" applyFont="1" applyBorder="1"/>
    <xf numFmtId="0" fontId="3" fillId="2" borderId="2" xfId="0" applyFont="1" applyFill="1" applyBorder="1" applyAlignment="1">
      <alignment horizont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1" xfId="0" applyFont="1" applyBorder="1"/>
    <xf numFmtId="0" fontId="50" fillId="0" borderId="1" xfId="0" applyFont="1" applyBorder="1" applyAlignment="1">
      <alignment horizontal="center" vertical="center" wrapText="1"/>
    </xf>
    <xf numFmtId="3" fontId="54" fillId="0" borderId="13" xfId="0" applyNumberFormat="1" applyFont="1" applyBorder="1" applyAlignment="1">
      <alignment horizontal="center"/>
    </xf>
    <xf numFmtId="3" fontId="54" fillId="0" borderId="14" xfId="0" applyNumberFormat="1" applyFont="1" applyBorder="1" applyAlignment="1">
      <alignment horizontal="center"/>
    </xf>
    <xf numFmtId="3" fontId="54" fillId="0" borderId="15" xfId="0" applyNumberFormat="1" applyFont="1" applyBorder="1" applyAlignment="1">
      <alignment horizontal="center"/>
    </xf>
    <xf numFmtId="3" fontId="48" fillId="2" borderId="1" xfId="0" applyNumberFormat="1" applyFont="1" applyFill="1" applyBorder="1" applyAlignment="1" applyProtection="1">
      <alignment horizontal="center" wrapText="1"/>
      <protection locked="0"/>
    </xf>
    <xf numFmtId="3" fontId="55" fillId="0" borderId="1" xfId="0" applyNumberFormat="1" applyFont="1" applyBorder="1" applyAlignment="1">
      <alignment horizontal="center" wrapText="1"/>
    </xf>
    <xf numFmtId="3" fontId="57" fillId="0" borderId="1" xfId="1" applyNumberFormat="1" applyFont="1" applyBorder="1" applyAlignment="1">
      <alignment horizontal="center" wrapText="1"/>
    </xf>
    <xf numFmtId="3" fontId="20" fillId="0" borderId="0" xfId="0" applyNumberFormat="1" applyFont="1" applyAlignment="1">
      <alignment horizontal="center" vertical="center"/>
    </xf>
    <xf numFmtId="3" fontId="54" fillId="3" borderId="1" xfId="0" applyNumberFormat="1" applyFont="1" applyFill="1" applyBorder="1" applyAlignment="1">
      <alignment horizontal="center"/>
    </xf>
    <xf numFmtId="3" fontId="32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3" fillId="0" borderId="0" xfId="0" applyNumberFormat="1" applyFont="1" applyAlignment="1">
      <alignment horizontal="center"/>
    </xf>
    <xf numFmtId="0" fontId="50" fillId="2" borderId="1" xfId="0" applyFont="1" applyFill="1" applyBorder="1" applyAlignment="1">
      <alignment horizontal="center" vertical="center" wrapText="1"/>
    </xf>
    <xf numFmtId="0" fontId="56" fillId="2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48" fillId="2" borderId="2" xfId="0" applyFont="1" applyFill="1" applyBorder="1" applyAlignment="1" applyProtection="1">
      <alignment vertical="center" wrapText="1"/>
      <protection locked="0"/>
    </xf>
    <xf numFmtId="0" fontId="57" fillId="0" borderId="3" xfId="0" applyFont="1" applyBorder="1" applyAlignment="1">
      <alignment vertical="center" wrapText="1"/>
    </xf>
    <xf numFmtId="0" fontId="55" fillId="0" borderId="3" xfId="0" applyFont="1" applyBorder="1" applyAlignment="1">
      <alignment vertical="center" wrapText="1"/>
    </xf>
    <xf numFmtId="0" fontId="54" fillId="2" borderId="2" xfId="0" applyFont="1" applyFill="1" applyBorder="1" applyAlignment="1">
      <alignment horizontal="justify" vertical="center" wrapText="1"/>
    </xf>
    <xf numFmtId="0" fontId="55" fillId="0" borderId="3" xfId="0" applyFont="1" applyBorder="1" applyAlignment="1">
      <alignment horizontal="justify" vertical="center" wrapText="1"/>
    </xf>
    <xf numFmtId="0" fontId="54" fillId="8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36" fillId="0" borderId="5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3" fillId="2" borderId="2" xfId="0" applyFont="1" applyFill="1" applyBorder="1" applyAlignment="1">
      <alignment horizontal="justify" wrapText="1"/>
    </xf>
    <xf numFmtId="0" fontId="0" fillId="0" borderId="3" xfId="0" applyBorder="1" applyAlignment="1">
      <alignment horizontal="justify" wrapText="1"/>
    </xf>
    <xf numFmtId="0" fontId="39" fillId="2" borderId="2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41" fillId="0" borderId="10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27" fillId="0" borderId="18" xfId="0" applyFont="1" applyBorder="1" applyAlignment="1" applyProtection="1">
      <alignment horizontal="center" vertical="center" wrapText="1"/>
      <protection locked="0"/>
    </xf>
    <xf numFmtId="0" fontId="25" fillId="0" borderId="19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0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40" fillId="9" borderId="1" xfId="7" applyFont="1" applyFill="1" applyBorder="1" applyAlignment="1">
      <alignment horizontal="center" vertical="center" wrapText="1"/>
    </xf>
    <xf numFmtId="0" fontId="51" fillId="0" borderId="1" xfId="7" applyFont="1" applyBorder="1"/>
    <xf numFmtId="0" fontId="50" fillId="0" borderId="1" xfId="7" applyFont="1" applyBorder="1" applyAlignment="1">
      <alignment horizontal="center" vertical="center"/>
    </xf>
    <xf numFmtId="0" fontId="50" fillId="9" borderId="1" xfId="7" applyFont="1" applyFill="1" applyBorder="1" applyAlignment="1">
      <alignment horizontal="center" vertical="center" wrapText="1"/>
    </xf>
    <xf numFmtId="0" fontId="52" fillId="9" borderId="1" xfId="7" applyFont="1" applyFill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47" fillId="0" borderId="1" xfId="0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4" fillId="2" borderId="2" xfId="0" applyFont="1" applyFill="1" applyBorder="1" applyAlignment="1">
      <alignment horizontal="center" wrapText="1"/>
    </xf>
    <xf numFmtId="0" fontId="54" fillId="9" borderId="37" xfId="7" applyFont="1" applyFill="1" applyBorder="1" applyAlignment="1">
      <alignment horizontal="center" wrapText="1"/>
    </xf>
    <xf numFmtId="0" fontId="57" fillId="0" borderId="39" xfId="7" applyFont="1" applyBorder="1" applyAlignment="1">
      <alignment horizontal="center"/>
    </xf>
    <xf numFmtId="0" fontId="23" fillId="0" borderId="41" xfId="7" applyFont="1" applyBorder="1" applyAlignment="1">
      <alignment horizontal="center"/>
    </xf>
    <xf numFmtId="0" fontId="7" fillId="0" borderId="42" xfId="7" applyFont="1" applyBorder="1"/>
    <xf numFmtId="0" fontId="7" fillId="0" borderId="43" xfId="7" applyFont="1" applyBorder="1"/>
    <xf numFmtId="0" fontId="54" fillId="0" borderId="37" xfId="7" applyFont="1" applyBorder="1" applyAlignment="1">
      <alignment horizontal="left" vertical="center"/>
    </xf>
    <xf numFmtId="0" fontId="57" fillId="0" borderId="38" xfId="7" applyFont="1" applyBorder="1"/>
    <xf numFmtId="0" fontId="57" fillId="0" borderId="39" xfId="7" applyFont="1" applyBorder="1"/>
    <xf numFmtId="0" fontId="56" fillId="9" borderId="37" xfId="7" applyFont="1" applyFill="1" applyBorder="1" applyAlignment="1">
      <alignment horizontal="center" wrapText="1"/>
    </xf>
  </cellXfs>
  <cellStyles count="8">
    <cellStyle name="Excel Built-in Normal" xfId="5"/>
    <cellStyle name="Normal 2" xfId="6"/>
    <cellStyle name="Κανονικό" xfId="0" builtinId="0"/>
    <cellStyle name="Κανονικό 2" xfId="1"/>
    <cellStyle name="Κανονικό 3" xfId="4"/>
    <cellStyle name="Κανονικό 4" xfId="2"/>
    <cellStyle name="Κανονικό 5" xfId="7"/>
    <cellStyle name="Κανονικό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8"/>
  <sheetViews>
    <sheetView tabSelected="1" workbookViewId="0">
      <selection sqref="A1:XFD1048576"/>
    </sheetView>
  </sheetViews>
  <sheetFormatPr defaultRowHeight="72.75" customHeight="1"/>
  <cols>
    <col min="1" max="1" width="50" style="258" bestFit="1" customWidth="1"/>
    <col min="2" max="2" width="43.28515625" style="259" customWidth="1"/>
    <col min="3" max="3" width="43.7109375" style="268" customWidth="1"/>
    <col min="4" max="4" width="9.5703125" style="171" customWidth="1"/>
    <col min="5" max="5" width="6" style="171" bestFit="1" customWidth="1"/>
    <col min="6" max="7" width="7" style="171" bestFit="1" customWidth="1"/>
    <col min="8" max="9" width="6" style="171" bestFit="1" customWidth="1"/>
    <col min="10" max="11" width="7" style="171" bestFit="1" customWidth="1"/>
    <col min="12" max="12" width="5.7109375" style="171" bestFit="1" customWidth="1"/>
    <col min="13" max="13" width="5.140625" style="171" bestFit="1" customWidth="1"/>
    <col min="14" max="14" width="5.7109375" style="171" bestFit="1" customWidth="1"/>
    <col min="15" max="15" width="5.140625" style="171" bestFit="1" customWidth="1"/>
    <col min="16" max="16" width="5.7109375" style="171" bestFit="1" customWidth="1"/>
    <col min="17" max="17" width="5.140625" style="171" bestFit="1" customWidth="1"/>
    <col min="18" max="18" width="5.7109375" style="171" bestFit="1" customWidth="1"/>
    <col min="19" max="19" width="5.140625" style="171" bestFit="1" customWidth="1"/>
    <col min="20" max="21" width="6" style="171" bestFit="1" customWidth="1"/>
    <col min="22" max="22" width="5.7109375" style="171" bestFit="1" customWidth="1"/>
    <col min="23" max="23" width="5.140625" style="171" bestFit="1" customWidth="1"/>
  </cols>
  <sheetData>
    <row r="1" spans="1:27" ht="72.75" customHeight="1">
      <c r="A1" s="307" t="s">
        <v>8</v>
      </c>
      <c r="B1" s="308"/>
      <c r="C1" s="308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248"/>
      <c r="Y1" s="248"/>
      <c r="Z1" s="248"/>
      <c r="AA1" s="248"/>
    </row>
    <row r="2" spans="1:27" ht="72.75" customHeight="1">
      <c r="A2" s="295" t="s">
        <v>802</v>
      </c>
      <c r="B2" s="295" t="s">
        <v>4</v>
      </c>
      <c r="C2" s="296" t="s">
        <v>1</v>
      </c>
      <c r="D2" s="304" t="s">
        <v>5</v>
      </c>
      <c r="E2" s="305"/>
      <c r="F2" s="310" t="s">
        <v>2</v>
      </c>
      <c r="G2" s="305"/>
      <c r="H2" s="304" t="s">
        <v>10</v>
      </c>
      <c r="I2" s="305"/>
      <c r="J2" s="302" t="s">
        <v>11</v>
      </c>
      <c r="K2" s="305"/>
      <c r="L2" s="302" t="s">
        <v>9</v>
      </c>
      <c r="M2" s="303"/>
      <c r="N2" s="302" t="s">
        <v>14</v>
      </c>
      <c r="O2" s="303"/>
      <c r="P2" s="302" t="s">
        <v>15</v>
      </c>
      <c r="Q2" s="303"/>
      <c r="R2" s="304" t="s">
        <v>3</v>
      </c>
      <c r="S2" s="305"/>
      <c r="T2" s="304" t="s">
        <v>12</v>
      </c>
      <c r="U2" s="305"/>
      <c r="V2" s="304" t="s">
        <v>13</v>
      </c>
      <c r="W2" s="306"/>
      <c r="X2" s="248"/>
      <c r="Y2" s="248"/>
      <c r="Z2" s="248"/>
      <c r="AA2" s="248"/>
    </row>
    <row r="3" spans="1:27" ht="72.75" customHeight="1">
      <c r="A3" s="297"/>
      <c r="B3" s="297"/>
      <c r="C3" s="298"/>
      <c r="D3" s="299" t="s">
        <v>6</v>
      </c>
      <c r="E3" s="299" t="s">
        <v>7</v>
      </c>
      <c r="F3" s="299" t="s">
        <v>6</v>
      </c>
      <c r="G3" s="299" t="s">
        <v>7</v>
      </c>
      <c r="H3" s="299" t="s">
        <v>6</v>
      </c>
      <c r="I3" s="299" t="s">
        <v>7</v>
      </c>
      <c r="J3" s="299" t="s">
        <v>6</v>
      </c>
      <c r="K3" s="299" t="s">
        <v>7</v>
      </c>
      <c r="L3" s="299" t="s">
        <v>6</v>
      </c>
      <c r="M3" s="299" t="s">
        <v>7</v>
      </c>
      <c r="N3" s="299" t="s">
        <v>6</v>
      </c>
      <c r="O3" s="299" t="s">
        <v>7</v>
      </c>
      <c r="P3" s="299" t="s">
        <v>6</v>
      </c>
      <c r="Q3" s="299" t="s">
        <v>7</v>
      </c>
      <c r="R3" s="299" t="s">
        <v>6</v>
      </c>
      <c r="S3" s="299" t="s">
        <v>7</v>
      </c>
      <c r="T3" s="299" t="s">
        <v>6</v>
      </c>
      <c r="U3" s="299" t="s">
        <v>7</v>
      </c>
      <c r="V3" s="299" t="s">
        <v>6</v>
      </c>
      <c r="W3" s="299" t="s">
        <v>7</v>
      </c>
      <c r="X3" s="248"/>
      <c r="Y3" s="248"/>
      <c r="Z3" s="248"/>
      <c r="AA3" s="248"/>
    </row>
    <row r="4" spans="1:27" ht="72.75" customHeight="1">
      <c r="A4" s="230" t="s">
        <v>71</v>
      </c>
      <c r="B4" s="230" t="s">
        <v>71</v>
      </c>
      <c r="C4" s="229" t="s">
        <v>72</v>
      </c>
      <c r="D4" s="279">
        <v>14</v>
      </c>
      <c r="E4" s="279">
        <v>0</v>
      </c>
      <c r="F4" s="279">
        <v>240</v>
      </c>
      <c r="G4" s="279">
        <v>0</v>
      </c>
      <c r="H4" s="279">
        <v>174</v>
      </c>
      <c r="I4" s="279">
        <v>0</v>
      </c>
      <c r="J4" s="279">
        <v>929</v>
      </c>
      <c r="K4" s="279">
        <v>0</v>
      </c>
      <c r="L4" s="279">
        <v>11</v>
      </c>
      <c r="M4" s="279">
        <v>0</v>
      </c>
      <c r="N4" s="279">
        <v>3</v>
      </c>
      <c r="O4" s="279">
        <v>0</v>
      </c>
      <c r="P4" s="279">
        <v>1</v>
      </c>
      <c r="Q4" s="279">
        <v>0</v>
      </c>
      <c r="R4" s="279">
        <v>16</v>
      </c>
      <c r="S4" s="279">
        <v>0</v>
      </c>
      <c r="T4" s="279">
        <v>13</v>
      </c>
      <c r="U4" s="279">
        <v>0</v>
      </c>
      <c r="V4" s="279">
        <v>9</v>
      </c>
      <c r="W4" s="279">
        <v>0</v>
      </c>
    </row>
    <row r="5" spans="1:27" ht="72.75" customHeight="1">
      <c r="A5" s="230" t="s">
        <v>71</v>
      </c>
      <c r="B5" s="230" t="s">
        <v>71</v>
      </c>
      <c r="C5" s="229" t="s">
        <v>73</v>
      </c>
      <c r="D5" s="279">
        <v>0</v>
      </c>
      <c r="E5" s="279">
        <v>0</v>
      </c>
      <c r="F5" s="279">
        <v>23</v>
      </c>
      <c r="G5" s="279">
        <v>26</v>
      </c>
      <c r="H5" s="279">
        <v>34</v>
      </c>
      <c r="I5" s="279">
        <v>28</v>
      </c>
      <c r="J5" s="279">
        <v>249</v>
      </c>
      <c r="K5" s="279">
        <v>129</v>
      </c>
      <c r="L5" s="279">
        <v>2</v>
      </c>
      <c r="M5" s="279">
        <v>1</v>
      </c>
      <c r="N5" s="279">
        <v>1</v>
      </c>
      <c r="O5" s="279">
        <v>1</v>
      </c>
      <c r="P5" s="279">
        <v>0</v>
      </c>
      <c r="Q5" s="279">
        <v>0</v>
      </c>
      <c r="R5" s="279">
        <v>3</v>
      </c>
      <c r="S5" s="279">
        <v>3</v>
      </c>
      <c r="T5" s="279">
        <v>1</v>
      </c>
      <c r="U5" s="279">
        <v>8</v>
      </c>
      <c r="V5" s="279">
        <v>3</v>
      </c>
      <c r="W5" s="279">
        <v>1</v>
      </c>
    </row>
    <row r="6" spans="1:27" ht="72.75" customHeight="1">
      <c r="A6" s="230" t="s">
        <v>80</v>
      </c>
      <c r="B6" s="230" t="s">
        <v>807</v>
      </c>
      <c r="C6" s="229" t="s">
        <v>81</v>
      </c>
      <c r="D6" s="279">
        <v>45</v>
      </c>
      <c r="E6" s="279">
        <v>88</v>
      </c>
      <c r="F6" s="279">
        <v>270</v>
      </c>
      <c r="G6" s="279">
        <v>474</v>
      </c>
      <c r="H6" s="279">
        <v>84</v>
      </c>
      <c r="I6" s="279">
        <v>125</v>
      </c>
      <c r="J6" s="279">
        <v>109</v>
      </c>
      <c r="K6" s="279">
        <v>109</v>
      </c>
      <c r="L6" s="279">
        <v>0</v>
      </c>
      <c r="M6" s="278">
        <v>4</v>
      </c>
      <c r="N6" s="278">
        <v>4</v>
      </c>
      <c r="O6" s="278">
        <v>5</v>
      </c>
      <c r="P6" s="278">
        <v>0</v>
      </c>
      <c r="Q6" s="278">
        <v>0</v>
      </c>
      <c r="R6" s="278">
        <v>1</v>
      </c>
      <c r="S6" s="278">
        <v>0</v>
      </c>
      <c r="T6" s="278">
        <v>24</v>
      </c>
      <c r="U6" s="278">
        <v>43</v>
      </c>
      <c r="V6" s="278">
        <v>6</v>
      </c>
      <c r="W6" s="278">
        <v>15</v>
      </c>
    </row>
    <row r="7" spans="1:27" ht="72.75" customHeight="1">
      <c r="A7" s="230" t="s">
        <v>80</v>
      </c>
      <c r="B7" s="230" t="s">
        <v>807</v>
      </c>
      <c r="C7" s="229" t="s">
        <v>82</v>
      </c>
      <c r="D7" s="279">
        <v>12</v>
      </c>
      <c r="E7" s="279">
        <v>126</v>
      </c>
      <c r="F7" s="279">
        <v>53</v>
      </c>
      <c r="G7" s="279">
        <v>317</v>
      </c>
      <c r="H7" s="279">
        <v>30</v>
      </c>
      <c r="I7" s="279">
        <v>133</v>
      </c>
      <c r="J7" s="279">
        <v>26</v>
      </c>
      <c r="K7" s="279">
        <v>144</v>
      </c>
      <c r="L7" s="279">
        <v>0</v>
      </c>
      <c r="M7" s="278">
        <v>11</v>
      </c>
      <c r="N7" s="278">
        <v>1</v>
      </c>
      <c r="O7" s="278">
        <v>5</v>
      </c>
      <c r="P7" s="278">
        <v>0</v>
      </c>
      <c r="Q7" s="278">
        <v>0</v>
      </c>
      <c r="R7" s="278">
        <v>0</v>
      </c>
      <c r="S7" s="278">
        <v>1</v>
      </c>
      <c r="T7" s="278">
        <v>4</v>
      </c>
      <c r="U7" s="278">
        <v>10</v>
      </c>
      <c r="V7" s="278">
        <v>1</v>
      </c>
      <c r="W7" s="278">
        <v>4</v>
      </c>
    </row>
    <row r="8" spans="1:27" ht="72.75" customHeight="1">
      <c r="A8" s="230" t="s">
        <v>661</v>
      </c>
      <c r="B8" s="230" t="s">
        <v>84</v>
      </c>
      <c r="C8" s="230" t="s">
        <v>85</v>
      </c>
      <c r="D8" s="279">
        <v>42</v>
      </c>
      <c r="E8" s="279">
        <v>8</v>
      </c>
      <c r="F8" s="279">
        <v>311</v>
      </c>
      <c r="G8" s="279">
        <v>68</v>
      </c>
      <c r="H8" s="279">
        <v>204</v>
      </c>
      <c r="I8" s="279">
        <v>42</v>
      </c>
      <c r="J8" s="279">
        <v>309</v>
      </c>
      <c r="K8" s="279">
        <v>54</v>
      </c>
      <c r="L8" s="279">
        <v>4</v>
      </c>
      <c r="M8" s="278">
        <v>3</v>
      </c>
      <c r="N8" s="278">
        <v>3</v>
      </c>
      <c r="O8" s="278">
        <v>2</v>
      </c>
      <c r="P8" s="278">
        <v>0</v>
      </c>
      <c r="Q8" s="278">
        <v>0</v>
      </c>
      <c r="R8" s="278">
        <v>2</v>
      </c>
      <c r="S8" s="278">
        <v>0</v>
      </c>
      <c r="T8" s="278">
        <v>22</v>
      </c>
      <c r="U8" s="278">
        <v>4</v>
      </c>
      <c r="V8" s="278">
        <v>28</v>
      </c>
      <c r="W8" s="278">
        <v>1</v>
      </c>
    </row>
    <row r="9" spans="1:27" ht="72.75" customHeight="1">
      <c r="A9" s="230" t="s">
        <v>661</v>
      </c>
      <c r="B9" s="230" t="s">
        <v>84</v>
      </c>
      <c r="C9" s="230" t="s">
        <v>86</v>
      </c>
      <c r="D9" s="279">
        <v>20</v>
      </c>
      <c r="E9" s="279">
        <v>6</v>
      </c>
      <c r="F9" s="279">
        <v>282</v>
      </c>
      <c r="G9" s="279">
        <v>72</v>
      </c>
      <c r="H9" s="279">
        <v>191</v>
      </c>
      <c r="I9" s="279">
        <v>40</v>
      </c>
      <c r="J9" s="279">
        <v>311</v>
      </c>
      <c r="K9" s="279">
        <v>67</v>
      </c>
      <c r="L9" s="279">
        <v>4</v>
      </c>
      <c r="M9" s="278">
        <v>2</v>
      </c>
      <c r="N9" s="278">
        <v>4</v>
      </c>
      <c r="O9" s="278">
        <v>1</v>
      </c>
      <c r="P9" s="278">
        <v>0</v>
      </c>
      <c r="Q9" s="278">
        <v>0</v>
      </c>
      <c r="R9" s="278">
        <v>0</v>
      </c>
      <c r="S9" s="278">
        <v>1</v>
      </c>
      <c r="T9" s="278">
        <v>32</v>
      </c>
      <c r="U9" s="278">
        <v>5</v>
      </c>
      <c r="V9" s="278">
        <v>23</v>
      </c>
      <c r="W9" s="278">
        <v>3</v>
      </c>
    </row>
    <row r="10" spans="1:27" ht="72.75" customHeight="1">
      <c r="A10" s="230" t="s">
        <v>661</v>
      </c>
      <c r="B10" s="230" t="s">
        <v>84</v>
      </c>
      <c r="C10" s="229" t="s">
        <v>87</v>
      </c>
      <c r="D10" s="279">
        <v>31</v>
      </c>
      <c r="E10" s="279">
        <v>9</v>
      </c>
      <c r="F10" s="279">
        <v>309</v>
      </c>
      <c r="G10" s="279">
        <v>62</v>
      </c>
      <c r="H10" s="279">
        <v>220</v>
      </c>
      <c r="I10" s="279">
        <v>44</v>
      </c>
      <c r="J10" s="279">
        <v>290</v>
      </c>
      <c r="K10" s="279">
        <v>30</v>
      </c>
      <c r="L10" s="279">
        <v>5</v>
      </c>
      <c r="M10" s="278">
        <v>1</v>
      </c>
      <c r="N10" s="278">
        <v>4</v>
      </c>
      <c r="O10" s="278">
        <v>3</v>
      </c>
      <c r="P10" s="278">
        <v>0</v>
      </c>
      <c r="Q10" s="278">
        <v>0</v>
      </c>
      <c r="R10" s="278">
        <v>0</v>
      </c>
      <c r="S10" s="278">
        <v>0</v>
      </c>
      <c r="T10" s="278">
        <v>31</v>
      </c>
      <c r="U10" s="278">
        <v>8</v>
      </c>
      <c r="V10" s="278">
        <v>24</v>
      </c>
      <c r="W10" s="278">
        <v>1</v>
      </c>
    </row>
    <row r="11" spans="1:27" ht="72.75" customHeight="1">
      <c r="A11" s="230" t="s">
        <v>661</v>
      </c>
      <c r="B11" s="230" t="s">
        <v>84</v>
      </c>
      <c r="C11" s="229" t="s">
        <v>88</v>
      </c>
      <c r="D11" s="279">
        <v>10</v>
      </c>
      <c r="E11" s="279">
        <v>16</v>
      </c>
      <c r="F11" s="279">
        <v>132</v>
      </c>
      <c r="G11" s="279">
        <v>183</v>
      </c>
      <c r="H11" s="279">
        <v>148</v>
      </c>
      <c r="I11" s="279">
        <v>130</v>
      </c>
      <c r="J11" s="279">
        <v>197</v>
      </c>
      <c r="K11" s="279">
        <v>191</v>
      </c>
      <c r="L11" s="279">
        <v>2</v>
      </c>
      <c r="M11" s="278">
        <v>4</v>
      </c>
      <c r="N11" s="278">
        <v>5</v>
      </c>
      <c r="O11" s="278">
        <v>2</v>
      </c>
      <c r="P11" s="278">
        <v>0</v>
      </c>
      <c r="Q11" s="278">
        <v>0</v>
      </c>
      <c r="R11" s="278">
        <v>0</v>
      </c>
      <c r="S11" s="278">
        <v>0</v>
      </c>
      <c r="T11" s="278">
        <v>8</v>
      </c>
      <c r="U11" s="278">
        <v>20</v>
      </c>
      <c r="V11" s="278">
        <v>20</v>
      </c>
      <c r="W11" s="278">
        <v>6</v>
      </c>
    </row>
    <row r="12" spans="1:27" ht="72.75" customHeight="1">
      <c r="A12" s="230" t="s">
        <v>662</v>
      </c>
      <c r="B12" s="230" t="s">
        <v>808</v>
      </c>
      <c r="C12" s="230" t="s">
        <v>18</v>
      </c>
      <c r="D12" s="236">
        <v>7</v>
      </c>
      <c r="E12" s="236">
        <v>6</v>
      </c>
      <c r="F12" s="236">
        <v>54</v>
      </c>
      <c r="G12" s="236">
        <v>100</v>
      </c>
      <c r="H12" s="236">
        <v>29</v>
      </c>
      <c r="I12" s="236">
        <v>42</v>
      </c>
      <c r="J12" s="236">
        <v>1</v>
      </c>
      <c r="K12" s="236">
        <v>9</v>
      </c>
      <c r="L12" s="236">
        <v>1</v>
      </c>
      <c r="M12" s="236">
        <v>1</v>
      </c>
      <c r="N12" s="236">
        <v>1</v>
      </c>
      <c r="O12" s="236">
        <v>1</v>
      </c>
      <c r="P12" s="236">
        <v>0</v>
      </c>
      <c r="Q12" s="236">
        <v>0</v>
      </c>
      <c r="R12" s="236">
        <v>6</v>
      </c>
      <c r="S12" s="236">
        <v>2</v>
      </c>
      <c r="T12" s="236">
        <v>3</v>
      </c>
      <c r="U12" s="236">
        <v>14</v>
      </c>
      <c r="V12" s="236">
        <v>0</v>
      </c>
      <c r="W12" s="236">
        <v>0</v>
      </c>
    </row>
    <row r="13" spans="1:27" ht="72.75" customHeight="1">
      <c r="A13" s="230" t="s">
        <v>662</v>
      </c>
      <c r="B13" s="230" t="s">
        <v>808</v>
      </c>
      <c r="C13" s="229" t="s">
        <v>19</v>
      </c>
      <c r="D13" s="236">
        <v>37</v>
      </c>
      <c r="E13" s="236">
        <v>26</v>
      </c>
      <c r="F13" s="236">
        <v>218</v>
      </c>
      <c r="G13" s="236">
        <v>312</v>
      </c>
      <c r="H13" s="236">
        <v>64</v>
      </c>
      <c r="I13" s="236">
        <v>106</v>
      </c>
      <c r="J13" s="236">
        <v>1494</v>
      </c>
      <c r="K13" s="236">
        <v>1680</v>
      </c>
      <c r="L13" s="236">
        <v>9</v>
      </c>
      <c r="M13" s="236">
        <v>14</v>
      </c>
      <c r="N13" s="236">
        <v>7</v>
      </c>
      <c r="O13" s="236">
        <v>8</v>
      </c>
      <c r="P13" s="236">
        <v>0</v>
      </c>
      <c r="Q13" s="236">
        <v>0</v>
      </c>
      <c r="R13" s="236">
        <v>23</v>
      </c>
      <c r="S13" s="236">
        <v>13</v>
      </c>
      <c r="T13" s="236">
        <v>19</v>
      </c>
      <c r="U13" s="236">
        <v>22</v>
      </c>
      <c r="V13" s="236">
        <v>5</v>
      </c>
      <c r="W13" s="236">
        <v>10</v>
      </c>
    </row>
    <row r="14" spans="1:27" ht="72.75" customHeight="1">
      <c r="A14" s="230" t="s">
        <v>662</v>
      </c>
      <c r="B14" s="230" t="s">
        <v>806</v>
      </c>
      <c r="C14" s="230" t="s">
        <v>20</v>
      </c>
      <c r="D14" s="236">
        <v>24</v>
      </c>
      <c r="E14" s="236">
        <v>12</v>
      </c>
      <c r="F14" s="236">
        <v>195</v>
      </c>
      <c r="G14" s="236">
        <v>205</v>
      </c>
      <c r="H14" s="236">
        <v>63</v>
      </c>
      <c r="I14" s="236">
        <v>82</v>
      </c>
      <c r="J14" s="236">
        <v>455</v>
      </c>
      <c r="K14" s="236">
        <v>831</v>
      </c>
      <c r="L14" s="236">
        <v>5</v>
      </c>
      <c r="M14" s="236">
        <v>11</v>
      </c>
      <c r="N14" s="236">
        <v>3</v>
      </c>
      <c r="O14" s="236">
        <v>5</v>
      </c>
      <c r="P14" s="236">
        <v>0</v>
      </c>
      <c r="Q14" s="236">
        <v>0</v>
      </c>
      <c r="R14" s="236">
        <v>19</v>
      </c>
      <c r="S14" s="236">
        <v>19</v>
      </c>
      <c r="T14" s="236">
        <v>21</v>
      </c>
      <c r="U14" s="236">
        <v>19</v>
      </c>
      <c r="V14" s="236">
        <v>7</v>
      </c>
      <c r="W14" s="236">
        <v>19</v>
      </c>
    </row>
    <row r="15" spans="1:27" ht="72.75" customHeight="1">
      <c r="A15" s="230" t="s">
        <v>662</v>
      </c>
      <c r="B15" s="230" t="s">
        <v>21</v>
      </c>
      <c r="C15" s="229" t="s">
        <v>22</v>
      </c>
      <c r="D15" s="236">
        <v>140</v>
      </c>
      <c r="E15" s="236">
        <v>379</v>
      </c>
      <c r="F15" s="236">
        <v>491</v>
      </c>
      <c r="G15" s="236">
        <v>1454</v>
      </c>
      <c r="H15" s="236">
        <v>88</v>
      </c>
      <c r="I15" s="236">
        <v>198</v>
      </c>
      <c r="J15" s="236">
        <v>1212</v>
      </c>
      <c r="K15" s="236">
        <v>1509</v>
      </c>
      <c r="L15" s="236">
        <v>20</v>
      </c>
      <c r="M15" s="236">
        <v>67</v>
      </c>
      <c r="N15" s="236">
        <v>8</v>
      </c>
      <c r="O15" s="236">
        <v>5</v>
      </c>
      <c r="P15" s="236">
        <v>6</v>
      </c>
      <c r="Q15" s="236">
        <v>5</v>
      </c>
      <c r="R15" s="236">
        <v>38</v>
      </c>
      <c r="S15" s="236">
        <v>106</v>
      </c>
      <c r="T15" s="236">
        <v>75</v>
      </c>
      <c r="U15" s="236">
        <v>171</v>
      </c>
      <c r="V15" s="236">
        <v>19</v>
      </c>
      <c r="W15" s="236">
        <v>54</v>
      </c>
    </row>
    <row r="16" spans="1:27" ht="72.75" customHeight="1">
      <c r="A16" s="230" t="s">
        <v>662</v>
      </c>
      <c r="B16" s="230" t="s">
        <v>809</v>
      </c>
      <c r="C16" s="229" t="s">
        <v>24</v>
      </c>
      <c r="D16" s="236">
        <v>12</v>
      </c>
      <c r="E16" s="236">
        <v>218</v>
      </c>
      <c r="F16" s="236">
        <v>40</v>
      </c>
      <c r="G16" s="236">
        <v>808</v>
      </c>
      <c r="H16" s="236">
        <v>6</v>
      </c>
      <c r="I16" s="236">
        <v>81</v>
      </c>
      <c r="J16" s="236">
        <v>67</v>
      </c>
      <c r="K16" s="236">
        <v>481</v>
      </c>
      <c r="L16" s="236">
        <v>0</v>
      </c>
      <c r="M16" s="236">
        <v>13</v>
      </c>
      <c r="N16" s="236">
        <v>1</v>
      </c>
      <c r="O16" s="236">
        <v>10</v>
      </c>
      <c r="P16" s="236">
        <v>0</v>
      </c>
      <c r="Q16" s="236">
        <v>0</v>
      </c>
      <c r="R16" s="236">
        <v>3</v>
      </c>
      <c r="S16" s="236">
        <v>153</v>
      </c>
      <c r="T16" s="236">
        <v>4</v>
      </c>
      <c r="U16" s="236">
        <v>89</v>
      </c>
      <c r="V16" s="236">
        <v>3</v>
      </c>
      <c r="W16" s="236">
        <v>9</v>
      </c>
    </row>
    <row r="17" spans="1:23" ht="72.75" customHeight="1">
      <c r="A17" s="230" t="s">
        <v>662</v>
      </c>
      <c r="B17" s="230" t="s">
        <v>809</v>
      </c>
      <c r="C17" s="229" t="s">
        <v>25</v>
      </c>
      <c r="D17" s="236">
        <v>51</v>
      </c>
      <c r="E17" s="236">
        <v>253</v>
      </c>
      <c r="F17" s="236">
        <v>191</v>
      </c>
      <c r="G17" s="236">
        <v>876</v>
      </c>
      <c r="H17" s="236">
        <v>35</v>
      </c>
      <c r="I17" s="236">
        <v>71</v>
      </c>
      <c r="J17" s="236">
        <v>201</v>
      </c>
      <c r="K17" s="236">
        <v>384</v>
      </c>
      <c r="L17" s="236">
        <v>10</v>
      </c>
      <c r="M17" s="236">
        <v>15</v>
      </c>
      <c r="N17" s="236">
        <v>3</v>
      </c>
      <c r="O17" s="236">
        <v>5</v>
      </c>
      <c r="P17" s="236">
        <v>0</v>
      </c>
      <c r="Q17" s="236">
        <v>0</v>
      </c>
      <c r="R17" s="236">
        <v>27</v>
      </c>
      <c r="S17" s="236">
        <v>204</v>
      </c>
      <c r="T17" s="236">
        <v>20</v>
      </c>
      <c r="U17" s="236">
        <v>72</v>
      </c>
      <c r="V17" s="236">
        <v>6</v>
      </c>
      <c r="W17" s="236">
        <v>15</v>
      </c>
    </row>
    <row r="18" spans="1:23" ht="72.75" customHeight="1">
      <c r="A18" s="230" t="s">
        <v>662</v>
      </c>
      <c r="B18" s="230" t="s">
        <v>810</v>
      </c>
      <c r="C18" s="229" t="s">
        <v>27</v>
      </c>
      <c r="D18" s="236">
        <v>139</v>
      </c>
      <c r="E18" s="236">
        <v>112</v>
      </c>
      <c r="F18" s="236">
        <v>523</v>
      </c>
      <c r="G18" s="236">
        <v>443</v>
      </c>
      <c r="H18" s="236">
        <v>100</v>
      </c>
      <c r="I18" s="236">
        <v>33</v>
      </c>
      <c r="J18" s="236">
        <v>916</v>
      </c>
      <c r="K18" s="236">
        <v>399</v>
      </c>
      <c r="L18" s="236">
        <v>15</v>
      </c>
      <c r="M18" s="236">
        <v>14</v>
      </c>
      <c r="N18" s="236">
        <v>7</v>
      </c>
      <c r="O18" s="236">
        <v>4</v>
      </c>
      <c r="P18" s="236">
        <v>0</v>
      </c>
      <c r="Q18" s="236">
        <v>0</v>
      </c>
      <c r="R18" s="236">
        <v>35</v>
      </c>
      <c r="S18" s="236">
        <v>62</v>
      </c>
      <c r="T18" s="236">
        <v>55</v>
      </c>
      <c r="U18" s="236">
        <v>36</v>
      </c>
      <c r="V18" s="236">
        <v>26</v>
      </c>
      <c r="W18" s="236">
        <v>10</v>
      </c>
    </row>
    <row r="19" spans="1:23" ht="72.75" customHeight="1">
      <c r="A19" s="230" t="s">
        <v>662</v>
      </c>
      <c r="B19" s="230" t="s">
        <v>810</v>
      </c>
      <c r="C19" s="229" t="s">
        <v>28</v>
      </c>
      <c r="D19" s="236">
        <v>85</v>
      </c>
      <c r="E19" s="236">
        <v>54</v>
      </c>
      <c r="F19" s="236">
        <v>272</v>
      </c>
      <c r="G19" s="236">
        <v>177</v>
      </c>
      <c r="H19" s="236">
        <v>35</v>
      </c>
      <c r="I19" s="236">
        <v>14</v>
      </c>
      <c r="J19" s="236">
        <v>303</v>
      </c>
      <c r="K19" s="236">
        <v>86</v>
      </c>
      <c r="L19" s="236">
        <v>38</v>
      </c>
      <c r="M19" s="236">
        <v>21</v>
      </c>
      <c r="N19" s="236">
        <v>7</v>
      </c>
      <c r="O19" s="236">
        <v>2</v>
      </c>
      <c r="P19" s="236">
        <v>0</v>
      </c>
      <c r="Q19" s="236">
        <v>0</v>
      </c>
      <c r="R19" s="236">
        <v>27</v>
      </c>
      <c r="S19" s="236">
        <v>19</v>
      </c>
      <c r="T19" s="236">
        <v>31</v>
      </c>
      <c r="U19" s="236">
        <v>19</v>
      </c>
      <c r="V19" s="236">
        <v>12</v>
      </c>
      <c r="W19" s="236">
        <v>10</v>
      </c>
    </row>
    <row r="20" spans="1:23" ht="72.75" customHeight="1">
      <c r="A20" s="230" t="s">
        <v>662</v>
      </c>
      <c r="B20" s="230" t="s">
        <v>811</v>
      </c>
      <c r="C20" s="229" t="s">
        <v>30</v>
      </c>
      <c r="D20" s="236">
        <v>47</v>
      </c>
      <c r="E20" s="236">
        <v>98</v>
      </c>
      <c r="F20" s="236">
        <v>143</v>
      </c>
      <c r="G20" s="236">
        <v>345</v>
      </c>
      <c r="H20" s="236">
        <v>24</v>
      </c>
      <c r="I20" s="236">
        <v>47</v>
      </c>
      <c r="J20" s="236">
        <v>190</v>
      </c>
      <c r="K20" s="236">
        <v>238</v>
      </c>
      <c r="L20" s="236">
        <v>19</v>
      </c>
      <c r="M20" s="236">
        <v>25</v>
      </c>
      <c r="N20" s="236">
        <v>2</v>
      </c>
      <c r="O20" s="236">
        <v>10</v>
      </c>
      <c r="P20" s="236">
        <v>0</v>
      </c>
      <c r="Q20" s="236">
        <v>3</v>
      </c>
      <c r="R20" s="236">
        <v>7</v>
      </c>
      <c r="S20" s="236">
        <v>28</v>
      </c>
      <c r="T20" s="236">
        <v>25</v>
      </c>
      <c r="U20" s="236">
        <v>55</v>
      </c>
      <c r="V20" s="236">
        <v>4</v>
      </c>
      <c r="W20" s="236">
        <v>10</v>
      </c>
    </row>
    <row r="21" spans="1:23" ht="72.75" customHeight="1">
      <c r="A21" s="230" t="s">
        <v>662</v>
      </c>
      <c r="B21" s="230" t="s">
        <v>811</v>
      </c>
      <c r="C21" s="229" t="s">
        <v>31</v>
      </c>
      <c r="D21" s="236">
        <v>43</v>
      </c>
      <c r="E21" s="236">
        <v>40</v>
      </c>
      <c r="F21" s="236">
        <v>207</v>
      </c>
      <c r="G21" s="236">
        <v>217</v>
      </c>
      <c r="H21" s="236">
        <v>67</v>
      </c>
      <c r="I21" s="236">
        <v>70</v>
      </c>
      <c r="J21" s="236">
        <v>583</v>
      </c>
      <c r="K21" s="236">
        <v>327</v>
      </c>
      <c r="L21" s="236">
        <v>9</v>
      </c>
      <c r="M21" s="236">
        <v>7</v>
      </c>
      <c r="N21" s="236">
        <v>0</v>
      </c>
      <c r="O21" s="236">
        <v>1</v>
      </c>
      <c r="P21" s="236">
        <v>0</v>
      </c>
      <c r="Q21" s="236">
        <v>0</v>
      </c>
      <c r="R21" s="236">
        <v>3</v>
      </c>
      <c r="S21" s="236">
        <v>8</v>
      </c>
      <c r="T21" s="236">
        <v>17</v>
      </c>
      <c r="U21" s="236">
        <v>24</v>
      </c>
      <c r="V21" s="236">
        <v>15</v>
      </c>
      <c r="W21" s="236">
        <v>17</v>
      </c>
    </row>
    <row r="22" spans="1:23" ht="72.75" customHeight="1">
      <c r="A22" s="230" t="s">
        <v>662</v>
      </c>
      <c r="B22" s="230" t="s">
        <v>811</v>
      </c>
      <c r="C22" s="229" t="s">
        <v>32</v>
      </c>
      <c r="D22" s="236">
        <v>50</v>
      </c>
      <c r="E22" s="236">
        <v>73</v>
      </c>
      <c r="F22" s="236">
        <v>361</v>
      </c>
      <c r="G22" s="236">
        <v>371</v>
      </c>
      <c r="H22" s="236">
        <v>168</v>
      </c>
      <c r="I22" s="236">
        <v>134</v>
      </c>
      <c r="J22" s="236">
        <v>1119</v>
      </c>
      <c r="K22" s="236">
        <v>600</v>
      </c>
      <c r="L22" s="236">
        <v>15</v>
      </c>
      <c r="M22" s="236">
        <v>4</v>
      </c>
      <c r="N22" s="236">
        <v>4</v>
      </c>
      <c r="O22" s="236">
        <v>3</v>
      </c>
      <c r="P22" s="236">
        <v>0</v>
      </c>
      <c r="Q22" s="236">
        <v>0</v>
      </c>
      <c r="R22" s="236">
        <v>11</v>
      </c>
      <c r="S22" s="236">
        <v>4</v>
      </c>
      <c r="T22" s="236">
        <v>30</v>
      </c>
      <c r="U22" s="236">
        <v>40</v>
      </c>
      <c r="V22" s="236">
        <v>28</v>
      </c>
      <c r="W22" s="236">
        <v>21</v>
      </c>
    </row>
    <row r="23" spans="1:23" ht="72.75" customHeight="1">
      <c r="A23" s="230" t="s">
        <v>662</v>
      </c>
      <c r="B23" s="230" t="s">
        <v>811</v>
      </c>
      <c r="C23" s="229" t="s">
        <v>33</v>
      </c>
      <c r="D23" s="236">
        <v>171</v>
      </c>
      <c r="E23" s="236">
        <v>55</v>
      </c>
      <c r="F23" s="236">
        <v>673</v>
      </c>
      <c r="G23" s="236">
        <v>219</v>
      </c>
      <c r="H23" s="236">
        <v>231</v>
      </c>
      <c r="I23" s="236">
        <v>44</v>
      </c>
      <c r="J23" s="236">
        <v>528</v>
      </c>
      <c r="K23" s="236">
        <v>98</v>
      </c>
      <c r="L23" s="236">
        <v>16</v>
      </c>
      <c r="M23" s="236">
        <v>8</v>
      </c>
      <c r="N23" s="236">
        <v>8</v>
      </c>
      <c r="O23" s="236">
        <v>3</v>
      </c>
      <c r="P23" s="236">
        <v>4</v>
      </c>
      <c r="Q23" s="236">
        <v>0</v>
      </c>
      <c r="R23" s="236">
        <v>24</v>
      </c>
      <c r="S23" s="236">
        <v>7</v>
      </c>
      <c r="T23" s="236">
        <v>52</v>
      </c>
      <c r="U23" s="236">
        <v>19</v>
      </c>
      <c r="V23" s="236">
        <v>32</v>
      </c>
      <c r="W23" s="236">
        <v>2</v>
      </c>
    </row>
    <row r="24" spans="1:23" ht="72.75" customHeight="1">
      <c r="A24" s="230" t="s">
        <v>662</v>
      </c>
      <c r="B24" s="230" t="s">
        <v>811</v>
      </c>
      <c r="C24" s="229" t="s">
        <v>34</v>
      </c>
      <c r="D24" s="236">
        <v>98</v>
      </c>
      <c r="E24" s="236">
        <v>57</v>
      </c>
      <c r="F24" s="236">
        <v>480</v>
      </c>
      <c r="G24" s="236">
        <v>310</v>
      </c>
      <c r="H24" s="236">
        <v>149</v>
      </c>
      <c r="I24" s="236">
        <v>79</v>
      </c>
      <c r="J24" s="236">
        <v>1154</v>
      </c>
      <c r="K24" s="236">
        <v>411</v>
      </c>
      <c r="L24" s="236">
        <v>19</v>
      </c>
      <c r="M24" s="236">
        <v>14</v>
      </c>
      <c r="N24" s="236">
        <v>3</v>
      </c>
      <c r="O24" s="236">
        <v>1</v>
      </c>
      <c r="P24" s="236">
        <v>0</v>
      </c>
      <c r="Q24" s="236">
        <v>0</v>
      </c>
      <c r="R24" s="236">
        <v>11</v>
      </c>
      <c r="S24" s="236">
        <v>4</v>
      </c>
      <c r="T24" s="236">
        <v>45</v>
      </c>
      <c r="U24" s="236">
        <v>49</v>
      </c>
      <c r="V24" s="236">
        <v>29</v>
      </c>
      <c r="W24" s="236">
        <v>15</v>
      </c>
    </row>
    <row r="25" spans="1:23" ht="72.75" customHeight="1">
      <c r="A25" s="230" t="s">
        <v>662</v>
      </c>
      <c r="B25" s="230" t="s">
        <v>811</v>
      </c>
      <c r="C25" s="229" t="s">
        <v>35</v>
      </c>
      <c r="D25" s="236">
        <v>71</v>
      </c>
      <c r="E25" s="236">
        <v>151</v>
      </c>
      <c r="F25" s="236">
        <v>251</v>
      </c>
      <c r="G25" s="236">
        <v>552</v>
      </c>
      <c r="H25" s="236">
        <v>39</v>
      </c>
      <c r="I25" s="236">
        <v>59</v>
      </c>
      <c r="J25" s="236">
        <v>385</v>
      </c>
      <c r="K25" s="236">
        <v>340</v>
      </c>
      <c r="L25" s="236">
        <v>22</v>
      </c>
      <c r="M25" s="236">
        <v>34</v>
      </c>
      <c r="N25" s="236">
        <v>4</v>
      </c>
      <c r="O25" s="236">
        <v>6</v>
      </c>
      <c r="P25" s="236">
        <v>0</v>
      </c>
      <c r="Q25" s="236">
        <v>0</v>
      </c>
      <c r="R25" s="236">
        <v>10</v>
      </c>
      <c r="S25" s="236">
        <v>39</v>
      </c>
      <c r="T25" s="236">
        <v>20</v>
      </c>
      <c r="U25" s="236">
        <v>62</v>
      </c>
      <c r="V25" s="236">
        <v>7</v>
      </c>
      <c r="W25" s="236">
        <v>15</v>
      </c>
    </row>
    <row r="26" spans="1:23" ht="72.75" customHeight="1">
      <c r="A26" s="230" t="s">
        <v>662</v>
      </c>
      <c r="B26" s="230" t="s">
        <v>812</v>
      </c>
      <c r="C26" s="230" t="s">
        <v>37</v>
      </c>
      <c r="D26" s="236">
        <v>29</v>
      </c>
      <c r="E26" s="236">
        <v>113</v>
      </c>
      <c r="F26" s="236">
        <v>152</v>
      </c>
      <c r="G26" s="236">
        <v>398</v>
      </c>
      <c r="H26" s="236">
        <v>39</v>
      </c>
      <c r="I26" s="236">
        <v>82</v>
      </c>
      <c r="J26" s="236">
        <v>113</v>
      </c>
      <c r="K26" s="236">
        <v>208</v>
      </c>
      <c r="L26" s="236">
        <v>10</v>
      </c>
      <c r="M26" s="236">
        <v>11</v>
      </c>
      <c r="N26" s="236">
        <v>3</v>
      </c>
      <c r="O26" s="236">
        <v>3</v>
      </c>
      <c r="P26" s="236">
        <v>0</v>
      </c>
      <c r="Q26" s="236">
        <v>5</v>
      </c>
      <c r="R26" s="236">
        <v>6</v>
      </c>
      <c r="S26" s="236">
        <v>5</v>
      </c>
      <c r="T26" s="236">
        <v>16</v>
      </c>
      <c r="U26" s="236">
        <v>63</v>
      </c>
      <c r="V26" s="236">
        <v>2</v>
      </c>
      <c r="W26" s="236">
        <v>15</v>
      </c>
    </row>
    <row r="27" spans="1:23" ht="72.75" customHeight="1">
      <c r="A27" s="230" t="s">
        <v>662</v>
      </c>
      <c r="B27" s="230" t="s">
        <v>812</v>
      </c>
      <c r="C27" s="229" t="s">
        <v>38</v>
      </c>
      <c r="D27" s="236">
        <v>277</v>
      </c>
      <c r="E27" s="236">
        <v>226</v>
      </c>
      <c r="F27" s="236">
        <v>1068</v>
      </c>
      <c r="G27" s="236">
        <v>876</v>
      </c>
      <c r="H27" s="236">
        <v>211</v>
      </c>
      <c r="I27" s="236">
        <v>101</v>
      </c>
      <c r="J27" s="236">
        <v>1580</v>
      </c>
      <c r="K27" s="236">
        <v>1237</v>
      </c>
      <c r="L27" s="236">
        <v>31</v>
      </c>
      <c r="M27" s="236">
        <v>27</v>
      </c>
      <c r="N27" s="236">
        <v>20</v>
      </c>
      <c r="O27" s="236">
        <v>4</v>
      </c>
      <c r="P27" s="236">
        <v>0</v>
      </c>
      <c r="Q27" s="236">
        <v>0</v>
      </c>
      <c r="R27" s="236">
        <v>45</v>
      </c>
      <c r="S27" s="236">
        <v>60</v>
      </c>
      <c r="T27" s="236">
        <v>99</v>
      </c>
      <c r="U27" s="236">
        <v>73</v>
      </c>
      <c r="V27" s="236">
        <v>18</v>
      </c>
      <c r="W27" s="236">
        <v>18</v>
      </c>
    </row>
    <row r="28" spans="1:23" ht="72.75" customHeight="1">
      <c r="A28" s="230" t="s">
        <v>662</v>
      </c>
      <c r="B28" s="230" t="s">
        <v>812</v>
      </c>
      <c r="C28" s="229" t="s">
        <v>39</v>
      </c>
      <c r="D28" s="236">
        <v>58</v>
      </c>
      <c r="E28" s="236">
        <v>121</v>
      </c>
      <c r="F28" s="236">
        <v>217</v>
      </c>
      <c r="G28" s="236">
        <v>431</v>
      </c>
      <c r="H28" s="236">
        <v>56</v>
      </c>
      <c r="I28" s="236">
        <v>95</v>
      </c>
      <c r="J28" s="236">
        <v>216</v>
      </c>
      <c r="K28" s="236">
        <v>271</v>
      </c>
      <c r="L28" s="236">
        <v>12</v>
      </c>
      <c r="M28" s="236">
        <v>23</v>
      </c>
      <c r="N28" s="236">
        <v>1</v>
      </c>
      <c r="O28" s="236">
        <v>3</v>
      </c>
      <c r="P28" s="236">
        <v>0</v>
      </c>
      <c r="Q28" s="236">
        <v>0</v>
      </c>
      <c r="R28" s="236">
        <v>11</v>
      </c>
      <c r="S28" s="236">
        <v>21</v>
      </c>
      <c r="T28" s="236">
        <v>28</v>
      </c>
      <c r="U28" s="236">
        <v>67</v>
      </c>
      <c r="V28" s="236">
        <v>7</v>
      </c>
      <c r="W28" s="236">
        <v>22</v>
      </c>
    </row>
    <row r="29" spans="1:23" ht="72.75" customHeight="1">
      <c r="A29" s="230" t="s">
        <v>662</v>
      </c>
      <c r="B29" s="230" t="s">
        <v>813</v>
      </c>
      <c r="C29" s="229" t="s">
        <v>41</v>
      </c>
      <c r="D29" s="236">
        <v>27</v>
      </c>
      <c r="E29" s="236">
        <v>174</v>
      </c>
      <c r="F29" s="236">
        <v>104</v>
      </c>
      <c r="G29" s="236">
        <v>678</v>
      </c>
      <c r="H29" s="236">
        <v>27</v>
      </c>
      <c r="I29" s="236">
        <v>60</v>
      </c>
      <c r="J29" s="236">
        <v>159</v>
      </c>
      <c r="K29" s="236">
        <v>616</v>
      </c>
      <c r="L29" s="236">
        <v>4</v>
      </c>
      <c r="M29" s="236">
        <v>23</v>
      </c>
      <c r="N29" s="236">
        <v>0</v>
      </c>
      <c r="O29" s="236">
        <v>5</v>
      </c>
      <c r="P29" s="236">
        <v>0</v>
      </c>
      <c r="Q29" s="236">
        <v>1</v>
      </c>
      <c r="R29" s="236">
        <v>11</v>
      </c>
      <c r="S29" s="236">
        <v>94</v>
      </c>
      <c r="T29" s="236">
        <v>11</v>
      </c>
      <c r="U29" s="236">
        <v>81</v>
      </c>
      <c r="V29" s="236">
        <v>2</v>
      </c>
      <c r="W29" s="236">
        <v>6</v>
      </c>
    </row>
    <row r="30" spans="1:23" ht="72.75" customHeight="1">
      <c r="A30" s="230" t="s">
        <v>662</v>
      </c>
      <c r="B30" s="230" t="s">
        <v>813</v>
      </c>
      <c r="C30" s="229" t="s">
        <v>42</v>
      </c>
      <c r="D30" s="236">
        <v>1</v>
      </c>
      <c r="E30" s="236">
        <v>21</v>
      </c>
      <c r="F30" s="236">
        <v>28</v>
      </c>
      <c r="G30" s="236">
        <v>139</v>
      </c>
      <c r="H30" s="236">
        <v>16</v>
      </c>
      <c r="I30" s="236">
        <v>64</v>
      </c>
      <c r="J30" s="236">
        <v>61</v>
      </c>
      <c r="K30" s="236">
        <v>398</v>
      </c>
      <c r="L30" s="236">
        <v>3</v>
      </c>
      <c r="M30" s="236">
        <v>7</v>
      </c>
      <c r="N30" s="236">
        <v>0</v>
      </c>
      <c r="O30" s="236">
        <v>1</v>
      </c>
      <c r="P30" s="236">
        <v>0</v>
      </c>
      <c r="Q30" s="236">
        <v>0</v>
      </c>
      <c r="R30" s="236">
        <v>1</v>
      </c>
      <c r="S30" s="236">
        <v>9</v>
      </c>
      <c r="T30" s="236">
        <v>2</v>
      </c>
      <c r="U30" s="236">
        <v>30</v>
      </c>
      <c r="V30" s="236">
        <v>0</v>
      </c>
      <c r="W30" s="236">
        <v>18</v>
      </c>
    </row>
    <row r="31" spans="1:23" ht="72.75" customHeight="1">
      <c r="A31" s="230" t="s">
        <v>662</v>
      </c>
      <c r="B31" s="230" t="s">
        <v>813</v>
      </c>
      <c r="C31" s="229" t="s">
        <v>43</v>
      </c>
      <c r="D31" s="236">
        <v>20</v>
      </c>
      <c r="E31" s="236">
        <v>46</v>
      </c>
      <c r="F31" s="236">
        <v>74</v>
      </c>
      <c r="G31" s="236">
        <v>302</v>
      </c>
      <c r="H31" s="236">
        <v>28</v>
      </c>
      <c r="I31" s="236">
        <v>101</v>
      </c>
      <c r="J31" s="236">
        <v>162</v>
      </c>
      <c r="K31" s="236">
        <v>506</v>
      </c>
      <c r="L31" s="236">
        <v>2</v>
      </c>
      <c r="M31" s="236">
        <v>9</v>
      </c>
      <c r="N31" s="236">
        <v>2</v>
      </c>
      <c r="O31" s="236">
        <v>3</v>
      </c>
      <c r="P31" s="236">
        <v>0</v>
      </c>
      <c r="Q31" s="236">
        <v>0</v>
      </c>
      <c r="R31" s="236">
        <v>2</v>
      </c>
      <c r="S31" s="236">
        <v>31</v>
      </c>
      <c r="T31" s="236">
        <v>6</v>
      </c>
      <c r="U31" s="236">
        <v>60</v>
      </c>
      <c r="V31" s="236">
        <v>2</v>
      </c>
      <c r="W31" s="236">
        <v>15</v>
      </c>
    </row>
    <row r="32" spans="1:23" ht="72.75" customHeight="1">
      <c r="A32" s="230" t="s">
        <v>662</v>
      </c>
      <c r="B32" s="230" t="s">
        <v>813</v>
      </c>
      <c r="C32" s="229" t="s">
        <v>44</v>
      </c>
      <c r="D32" s="236">
        <v>59</v>
      </c>
      <c r="E32" s="236">
        <v>72</v>
      </c>
      <c r="F32" s="236">
        <v>295</v>
      </c>
      <c r="G32" s="236">
        <v>440</v>
      </c>
      <c r="H32" s="236">
        <v>69</v>
      </c>
      <c r="I32" s="236">
        <v>128</v>
      </c>
      <c r="J32" s="236">
        <v>313</v>
      </c>
      <c r="K32" s="236">
        <v>591</v>
      </c>
      <c r="L32" s="236">
        <v>4</v>
      </c>
      <c r="M32" s="236">
        <v>16</v>
      </c>
      <c r="N32" s="236">
        <v>3</v>
      </c>
      <c r="O32" s="236">
        <v>3</v>
      </c>
      <c r="P32" s="236">
        <v>0</v>
      </c>
      <c r="Q32" s="236">
        <v>0</v>
      </c>
      <c r="R32" s="236">
        <v>19</v>
      </c>
      <c r="S32" s="236">
        <v>25</v>
      </c>
      <c r="T32" s="236">
        <v>26</v>
      </c>
      <c r="U32" s="236">
        <v>110</v>
      </c>
      <c r="V32" s="236">
        <v>8</v>
      </c>
      <c r="W32" s="236">
        <v>22</v>
      </c>
    </row>
    <row r="33" spans="1:23" ht="72.75" customHeight="1">
      <c r="A33" s="230" t="s">
        <v>662</v>
      </c>
      <c r="B33" s="230" t="s">
        <v>813</v>
      </c>
      <c r="C33" s="229" t="s">
        <v>45</v>
      </c>
      <c r="D33" s="236">
        <v>2</v>
      </c>
      <c r="E33" s="236">
        <v>10</v>
      </c>
      <c r="F33" s="236">
        <v>41</v>
      </c>
      <c r="G33" s="236">
        <v>170</v>
      </c>
      <c r="H33" s="236">
        <v>18</v>
      </c>
      <c r="I33" s="236">
        <v>79</v>
      </c>
      <c r="J33" s="236">
        <v>127</v>
      </c>
      <c r="K33" s="236">
        <v>485</v>
      </c>
      <c r="L33" s="236">
        <v>1</v>
      </c>
      <c r="M33" s="236">
        <v>3</v>
      </c>
      <c r="N33" s="236">
        <v>2</v>
      </c>
      <c r="O33" s="236">
        <v>4</v>
      </c>
      <c r="P33" s="236">
        <v>0</v>
      </c>
      <c r="Q33" s="236">
        <v>0</v>
      </c>
      <c r="R33" s="236">
        <v>3</v>
      </c>
      <c r="S33" s="236">
        <v>11</v>
      </c>
      <c r="T33" s="236">
        <v>3</v>
      </c>
      <c r="U33" s="236">
        <v>18</v>
      </c>
      <c r="V33" s="236">
        <v>1</v>
      </c>
      <c r="W33" s="236">
        <v>6</v>
      </c>
    </row>
    <row r="34" spans="1:23" ht="72.75" customHeight="1">
      <c r="A34" s="230" t="s">
        <v>662</v>
      </c>
      <c r="B34" s="230" t="s">
        <v>813</v>
      </c>
      <c r="C34" s="229" t="s">
        <v>46</v>
      </c>
      <c r="D34" s="236">
        <v>27</v>
      </c>
      <c r="E34" s="236">
        <v>99</v>
      </c>
      <c r="F34" s="236">
        <v>159</v>
      </c>
      <c r="G34" s="236">
        <v>677</v>
      </c>
      <c r="H34" s="236">
        <v>41</v>
      </c>
      <c r="I34" s="236">
        <v>138</v>
      </c>
      <c r="J34" s="236">
        <v>202</v>
      </c>
      <c r="K34" s="236">
        <v>606</v>
      </c>
      <c r="L34" s="236">
        <v>6</v>
      </c>
      <c r="M34" s="236">
        <v>24</v>
      </c>
      <c r="N34" s="236">
        <v>0</v>
      </c>
      <c r="O34" s="236">
        <v>3</v>
      </c>
      <c r="P34" s="236">
        <v>0</v>
      </c>
      <c r="Q34" s="236">
        <v>0</v>
      </c>
      <c r="R34" s="236">
        <v>7</v>
      </c>
      <c r="S34" s="236">
        <v>33</v>
      </c>
      <c r="T34" s="236">
        <v>14</v>
      </c>
      <c r="U34" s="236">
        <v>110</v>
      </c>
      <c r="V34" s="236">
        <v>5</v>
      </c>
      <c r="W34" s="236">
        <v>38</v>
      </c>
    </row>
    <row r="35" spans="1:23" ht="72.75" customHeight="1">
      <c r="A35" s="230" t="s">
        <v>662</v>
      </c>
      <c r="B35" s="230" t="s">
        <v>813</v>
      </c>
      <c r="C35" s="229" t="s">
        <v>47</v>
      </c>
      <c r="D35" s="236">
        <v>15</v>
      </c>
      <c r="E35" s="236">
        <v>62</v>
      </c>
      <c r="F35" s="236">
        <v>148</v>
      </c>
      <c r="G35" s="236">
        <v>459</v>
      </c>
      <c r="H35" s="236">
        <v>33</v>
      </c>
      <c r="I35" s="236">
        <v>65</v>
      </c>
      <c r="J35" s="236">
        <v>124</v>
      </c>
      <c r="K35" s="236">
        <v>278</v>
      </c>
      <c r="L35" s="236">
        <v>3</v>
      </c>
      <c r="M35" s="236">
        <v>12</v>
      </c>
      <c r="N35" s="236">
        <v>4</v>
      </c>
      <c r="O35" s="236">
        <v>11</v>
      </c>
      <c r="P35" s="236">
        <v>0</v>
      </c>
      <c r="Q35" s="236">
        <v>0</v>
      </c>
      <c r="R35" s="236">
        <v>15</v>
      </c>
      <c r="S35" s="236">
        <v>78</v>
      </c>
      <c r="T35" s="236">
        <v>14</v>
      </c>
      <c r="U35" s="236">
        <v>66</v>
      </c>
      <c r="V35" s="236">
        <v>1</v>
      </c>
      <c r="W35" s="236">
        <v>12</v>
      </c>
    </row>
    <row r="36" spans="1:23" ht="72.75" customHeight="1">
      <c r="A36" s="230" t="s">
        <v>662</v>
      </c>
      <c r="B36" s="230" t="s">
        <v>813</v>
      </c>
      <c r="C36" s="229" t="s">
        <v>48</v>
      </c>
      <c r="D36" s="236">
        <v>31</v>
      </c>
      <c r="E36" s="236">
        <v>264</v>
      </c>
      <c r="F36" s="236">
        <v>110</v>
      </c>
      <c r="G36" s="236">
        <v>927</v>
      </c>
      <c r="H36" s="236">
        <v>12</v>
      </c>
      <c r="I36" s="236">
        <v>53</v>
      </c>
      <c r="J36" s="236">
        <v>93</v>
      </c>
      <c r="K36" s="236">
        <v>323</v>
      </c>
      <c r="L36" s="236">
        <v>4</v>
      </c>
      <c r="M36" s="236">
        <v>2</v>
      </c>
      <c r="N36" s="236">
        <v>0</v>
      </c>
      <c r="O36" s="236">
        <v>4</v>
      </c>
      <c r="P36" s="236">
        <v>0</v>
      </c>
      <c r="Q36" s="236">
        <v>0</v>
      </c>
      <c r="R36" s="236">
        <v>12</v>
      </c>
      <c r="S36" s="236">
        <v>154</v>
      </c>
      <c r="T36" s="236">
        <v>15</v>
      </c>
      <c r="U36" s="236">
        <v>100</v>
      </c>
      <c r="V36" s="236">
        <v>1</v>
      </c>
      <c r="W36" s="236">
        <v>10</v>
      </c>
    </row>
    <row r="37" spans="1:23" ht="72.75" customHeight="1">
      <c r="A37" s="230" t="s">
        <v>662</v>
      </c>
      <c r="B37" s="230" t="s">
        <v>139</v>
      </c>
      <c r="C37" s="229" t="s">
        <v>50</v>
      </c>
      <c r="D37" s="236">
        <v>64</v>
      </c>
      <c r="E37" s="236">
        <v>22</v>
      </c>
      <c r="F37" s="236">
        <v>253</v>
      </c>
      <c r="G37" s="236">
        <v>154</v>
      </c>
      <c r="H37" s="236">
        <v>79</v>
      </c>
      <c r="I37" s="236">
        <v>46</v>
      </c>
      <c r="J37" s="236">
        <v>286</v>
      </c>
      <c r="K37" s="236">
        <v>97</v>
      </c>
      <c r="L37" s="236">
        <v>16</v>
      </c>
      <c r="M37" s="236">
        <v>6</v>
      </c>
      <c r="N37" s="236">
        <v>7</v>
      </c>
      <c r="O37" s="236">
        <v>1</v>
      </c>
      <c r="P37" s="236">
        <v>0</v>
      </c>
      <c r="Q37" s="236">
        <v>0</v>
      </c>
      <c r="R37" s="236">
        <v>3</v>
      </c>
      <c r="S37" s="236">
        <v>4</v>
      </c>
      <c r="T37" s="236">
        <v>32</v>
      </c>
      <c r="U37" s="236">
        <v>29</v>
      </c>
      <c r="V37" s="236">
        <v>9</v>
      </c>
      <c r="W37" s="236">
        <v>1</v>
      </c>
    </row>
    <row r="38" spans="1:23" ht="72.75" customHeight="1">
      <c r="A38" s="230" t="s">
        <v>662</v>
      </c>
      <c r="B38" s="230" t="s">
        <v>139</v>
      </c>
      <c r="C38" s="229" t="s">
        <v>51</v>
      </c>
      <c r="D38" s="236">
        <v>26</v>
      </c>
      <c r="E38" s="236">
        <v>122</v>
      </c>
      <c r="F38" s="236">
        <v>177</v>
      </c>
      <c r="G38" s="236">
        <v>585</v>
      </c>
      <c r="H38" s="236">
        <v>52</v>
      </c>
      <c r="I38" s="236">
        <v>165</v>
      </c>
      <c r="J38" s="236">
        <v>185</v>
      </c>
      <c r="K38" s="236">
        <v>177</v>
      </c>
      <c r="L38" s="236">
        <v>4</v>
      </c>
      <c r="M38" s="236">
        <v>6</v>
      </c>
      <c r="N38" s="236">
        <v>3</v>
      </c>
      <c r="O38" s="236">
        <v>6</v>
      </c>
      <c r="P38" s="236">
        <v>0</v>
      </c>
      <c r="Q38" s="236">
        <v>0</v>
      </c>
      <c r="R38" s="236">
        <v>0</v>
      </c>
      <c r="S38" s="236">
        <v>3</v>
      </c>
      <c r="T38" s="236">
        <v>36</v>
      </c>
      <c r="U38" s="236">
        <v>110</v>
      </c>
      <c r="V38" s="236">
        <v>5</v>
      </c>
      <c r="W38" s="236">
        <v>11</v>
      </c>
    </row>
    <row r="39" spans="1:23" ht="72.75" customHeight="1">
      <c r="A39" s="230" t="s">
        <v>662</v>
      </c>
      <c r="B39" s="230" t="s">
        <v>139</v>
      </c>
      <c r="C39" s="230" t="s">
        <v>52</v>
      </c>
      <c r="D39" s="236">
        <v>211</v>
      </c>
      <c r="E39" s="236">
        <v>71</v>
      </c>
      <c r="F39" s="236">
        <v>1069</v>
      </c>
      <c r="G39" s="236">
        <v>312</v>
      </c>
      <c r="H39" s="236">
        <v>303</v>
      </c>
      <c r="I39" s="236">
        <v>42</v>
      </c>
      <c r="J39" s="236">
        <v>967</v>
      </c>
      <c r="K39" s="236">
        <v>153</v>
      </c>
      <c r="L39" s="236">
        <v>35</v>
      </c>
      <c r="M39" s="236">
        <v>5</v>
      </c>
      <c r="N39" s="236">
        <v>13</v>
      </c>
      <c r="O39" s="236">
        <v>0</v>
      </c>
      <c r="P39" s="236">
        <v>5</v>
      </c>
      <c r="Q39" s="236">
        <v>0</v>
      </c>
      <c r="R39" s="236">
        <v>46</v>
      </c>
      <c r="S39" s="236">
        <v>16</v>
      </c>
      <c r="T39" s="236">
        <v>121</v>
      </c>
      <c r="U39" s="236">
        <v>35</v>
      </c>
      <c r="V39" s="236">
        <v>38</v>
      </c>
      <c r="W39" s="236">
        <v>7</v>
      </c>
    </row>
    <row r="40" spans="1:23" ht="72.75" customHeight="1">
      <c r="A40" s="230" t="s">
        <v>662</v>
      </c>
      <c r="B40" s="230" t="s">
        <v>139</v>
      </c>
      <c r="C40" s="229" t="s">
        <v>53</v>
      </c>
      <c r="D40" s="236">
        <v>56</v>
      </c>
      <c r="E40" s="236">
        <v>47</v>
      </c>
      <c r="F40" s="236">
        <v>258</v>
      </c>
      <c r="G40" s="236">
        <v>217</v>
      </c>
      <c r="H40" s="236">
        <v>77</v>
      </c>
      <c r="I40" s="236">
        <v>35</v>
      </c>
      <c r="J40" s="236">
        <v>110</v>
      </c>
      <c r="K40" s="236">
        <v>78</v>
      </c>
      <c r="L40" s="236">
        <v>9</v>
      </c>
      <c r="M40" s="236">
        <v>4</v>
      </c>
      <c r="N40" s="236">
        <v>7</v>
      </c>
      <c r="O40" s="236">
        <v>3</v>
      </c>
      <c r="P40" s="236">
        <v>0</v>
      </c>
      <c r="Q40" s="236">
        <v>0</v>
      </c>
      <c r="R40" s="236">
        <v>12</v>
      </c>
      <c r="S40" s="236">
        <v>20</v>
      </c>
      <c r="T40" s="236">
        <v>25</v>
      </c>
      <c r="U40" s="236">
        <v>18</v>
      </c>
      <c r="V40" s="236">
        <v>6</v>
      </c>
      <c r="W40" s="236">
        <v>2</v>
      </c>
    </row>
    <row r="41" spans="1:23" ht="72.75" customHeight="1">
      <c r="A41" s="230" t="s">
        <v>662</v>
      </c>
      <c r="B41" s="230" t="s">
        <v>139</v>
      </c>
      <c r="C41" s="229" t="s">
        <v>54</v>
      </c>
      <c r="D41" s="236">
        <v>122</v>
      </c>
      <c r="E41" s="236">
        <v>37</v>
      </c>
      <c r="F41" s="236">
        <v>648</v>
      </c>
      <c r="G41" s="236">
        <v>141</v>
      </c>
      <c r="H41" s="236">
        <v>166</v>
      </c>
      <c r="I41" s="236">
        <v>42</v>
      </c>
      <c r="J41" s="236">
        <v>720</v>
      </c>
      <c r="K41" s="236">
        <v>87</v>
      </c>
      <c r="L41" s="236">
        <v>22</v>
      </c>
      <c r="M41" s="236">
        <v>4</v>
      </c>
      <c r="N41" s="236">
        <v>8</v>
      </c>
      <c r="O41" s="236">
        <v>1</v>
      </c>
      <c r="P41" s="236">
        <v>2</v>
      </c>
      <c r="Q41" s="236">
        <v>0</v>
      </c>
      <c r="R41" s="236">
        <v>16</v>
      </c>
      <c r="S41" s="236">
        <v>0</v>
      </c>
      <c r="T41" s="236">
        <v>58</v>
      </c>
      <c r="U41" s="236">
        <v>22</v>
      </c>
      <c r="V41" s="236">
        <v>13</v>
      </c>
      <c r="W41" s="236">
        <v>3</v>
      </c>
    </row>
    <row r="42" spans="1:23" ht="72.75" customHeight="1">
      <c r="A42" s="230" t="s">
        <v>662</v>
      </c>
      <c r="B42" s="230" t="s">
        <v>139</v>
      </c>
      <c r="C42" s="229" t="s">
        <v>55</v>
      </c>
      <c r="D42" s="236">
        <v>125</v>
      </c>
      <c r="E42" s="236">
        <v>81</v>
      </c>
      <c r="F42" s="236">
        <v>600</v>
      </c>
      <c r="G42" s="236">
        <v>389</v>
      </c>
      <c r="H42" s="236">
        <v>211</v>
      </c>
      <c r="I42" s="236">
        <v>95</v>
      </c>
      <c r="J42" s="236">
        <v>739</v>
      </c>
      <c r="K42" s="236">
        <v>267</v>
      </c>
      <c r="L42" s="236">
        <v>20</v>
      </c>
      <c r="M42" s="236">
        <v>10</v>
      </c>
      <c r="N42" s="236">
        <v>6</v>
      </c>
      <c r="O42" s="236">
        <v>6</v>
      </c>
      <c r="P42" s="236">
        <v>0</v>
      </c>
      <c r="Q42" s="236">
        <v>0</v>
      </c>
      <c r="R42" s="236">
        <v>10</v>
      </c>
      <c r="S42" s="236">
        <v>4</v>
      </c>
      <c r="T42" s="236">
        <v>55</v>
      </c>
      <c r="U42" s="236">
        <v>42</v>
      </c>
      <c r="V42" s="236">
        <v>22</v>
      </c>
      <c r="W42" s="236">
        <v>4</v>
      </c>
    </row>
    <row r="43" spans="1:23" ht="72.75" customHeight="1">
      <c r="A43" s="230" t="s">
        <v>662</v>
      </c>
      <c r="B43" s="230" t="s">
        <v>139</v>
      </c>
      <c r="C43" s="229" t="s">
        <v>56</v>
      </c>
      <c r="D43" s="236">
        <v>64</v>
      </c>
      <c r="E43" s="236">
        <v>85</v>
      </c>
      <c r="F43" s="236">
        <v>309</v>
      </c>
      <c r="G43" s="236">
        <v>370</v>
      </c>
      <c r="H43" s="236">
        <v>61</v>
      </c>
      <c r="I43" s="236">
        <v>41</v>
      </c>
      <c r="J43" s="236">
        <v>343</v>
      </c>
      <c r="K43" s="236">
        <v>154</v>
      </c>
      <c r="L43" s="236">
        <v>8</v>
      </c>
      <c r="M43" s="236">
        <v>9</v>
      </c>
      <c r="N43" s="236">
        <v>0</v>
      </c>
      <c r="O43" s="236">
        <v>1</v>
      </c>
      <c r="P43" s="236">
        <v>1</v>
      </c>
      <c r="Q43" s="236">
        <v>0</v>
      </c>
      <c r="R43" s="236">
        <v>22</v>
      </c>
      <c r="S43" s="236">
        <v>24</v>
      </c>
      <c r="T43" s="236">
        <v>36</v>
      </c>
      <c r="U43" s="236">
        <v>23</v>
      </c>
      <c r="V43" s="236">
        <v>2</v>
      </c>
      <c r="W43" s="236">
        <v>5</v>
      </c>
    </row>
    <row r="44" spans="1:23" ht="72.75" customHeight="1">
      <c r="A44" s="230" t="s">
        <v>662</v>
      </c>
      <c r="B44" s="230" t="s">
        <v>814</v>
      </c>
      <c r="C44" s="229" t="s">
        <v>58</v>
      </c>
      <c r="D44" s="236">
        <v>91</v>
      </c>
      <c r="E44" s="236">
        <v>134</v>
      </c>
      <c r="F44" s="236">
        <v>575</v>
      </c>
      <c r="G44" s="236">
        <v>718</v>
      </c>
      <c r="H44" s="236">
        <v>151</v>
      </c>
      <c r="I44" s="236">
        <v>96</v>
      </c>
      <c r="J44" s="236">
        <v>1021</v>
      </c>
      <c r="K44" s="236">
        <v>477</v>
      </c>
      <c r="L44" s="236">
        <v>14</v>
      </c>
      <c r="M44" s="236">
        <v>36</v>
      </c>
      <c r="N44" s="236">
        <v>8</v>
      </c>
      <c r="O44" s="236">
        <v>5</v>
      </c>
      <c r="P44" s="236">
        <v>0</v>
      </c>
      <c r="Q44" s="236">
        <v>0</v>
      </c>
      <c r="R44" s="236">
        <v>34</v>
      </c>
      <c r="S44" s="236">
        <v>70</v>
      </c>
      <c r="T44" s="236">
        <v>44</v>
      </c>
      <c r="U44" s="236">
        <v>57</v>
      </c>
      <c r="V44" s="236">
        <v>25</v>
      </c>
      <c r="W44" s="236">
        <v>8</v>
      </c>
    </row>
    <row r="45" spans="1:23" ht="72.75" customHeight="1">
      <c r="A45" s="230" t="s">
        <v>662</v>
      </c>
      <c r="B45" s="230" t="s">
        <v>814</v>
      </c>
      <c r="C45" s="229" t="s">
        <v>59</v>
      </c>
      <c r="D45" s="236">
        <v>26</v>
      </c>
      <c r="E45" s="236">
        <v>41</v>
      </c>
      <c r="F45" s="236">
        <v>193</v>
      </c>
      <c r="G45" s="236">
        <v>314</v>
      </c>
      <c r="H45" s="236">
        <v>102</v>
      </c>
      <c r="I45" s="236">
        <v>85</v>
      </c>
      <c r="J45" s="236">
        <v>413</v>
      </c>
      <c r="K45" s="236">
        <v>239</v>
      </c>
      <c r="L45" s="236">
        <v>8</v>
      </c>
      <c r="M45" s="236">
        <v>18</v>
      </c>
      <c r="N45" s="236">
        <v>4</v>
      </c>
      <c r="O45" s="236">
        <v>6</v>
      </c>
      <c r="P45" s="236">
        <v>0</v>
      </c>
      <c r="Q45" s="236">
        <v>0</v>
      </c>
      <c r="R45" s="236">
        <v>5</v>
      </c>
      <c r="S45" s="236">
        <v>7</v>
      </c>
      <c r="T45" s="236">
        <v>15</v>
      </c>
      <c r="U45" s="236">
        <v>20</v>
      </c>
      <c r="V45" s="236">
        <v>7</v>
      </c>
      <c r="W45" s="236">
        <v>4</v>
      </c>
    </row>
    <row r="46" spans="1:23" ht="72.75" customHeight="1">
      <c r="A46" s="230" t="s">
        <v>662</v>
      </c>
      <c r="B46" s="230" t="s">
        <v>815</v>
      </c>
      <c r="C46" s="229" t="s">
        <v>61</v>
      </c>
      <c r="D46" s="237">
        <v>135</v>
      </c>
      <c r="E46" s="237">
        <v>192</v>
      </c>
      <c r="F46" s="237">
        <v>724</v>
      </c>
      <c r="G46" s="237">
        <v>979</v>
      </c>
      <c r="H46" s="237">
        <v>52</v>
      </c>
      <c r="I46" s="237">
        <v>40</v>
      </c>
      <c r="J46" s="237">
        <v>439</v>
      </c>
      <c r="K46" s="237">
        <v>323</v>
      </c>
      <c r="L46" s="237">
        <v>16</v>
      </c>
      <c r="M46" s="237">
        <v>11</v>
      </c>
      <c r="N46" s="237">
        <v>1</v>
      </c>
      <c r="O46" s="237">
        <v>5</v>
      </c>
      <c r="P46" s="237">
        <v>0</v>
      </c>
      <c r="Q46" s="237">
        <v>0</v>
      </c>
      <c r="R46" s="237">
        <v>117</v>
      </c>
      <c r="S46" s="237">
        <v>137</v>
      </c>
      <c r="T46" s="237">
        <v>28</v>
      </c>
      <c r="U46" s="237">
        <v>39</v>
      </c>
      <c r="V46" s="237">
        <v>7</v>
      </c>
      <c r="W46" s="237">
        <v>9</v>
      </c>
    </row>
    <row r="47" spans="1:23" ht="72.75" customHeight="1">
      <c r="A47" s="230" t="s">
        <v>662</v>
      </c>
      <c r="B47" s="230" t="s">
        <v>815</v>
      </c>
      <c r="C47" s="229" t="s">
        <v>62</v>
      </c>
      <c r="D47" s="237">
        <v>26</v>
      </c>
      <c r="E47" s="237">
        <v>33</v>
      </c>
      <c r="F47" s="237">
        <v>39</v>
      </c>
      <c r="G47" s="237">
        <v>78</v>
      </c>
      <c r="H47" s="237">
        <v>0</v>
      </c>
      <c r="I47" s="237">
        <v>0</v>
      </c>
      <c r="J47" s="237">
        <v>0</v>
      </c>
      <c r="K47" s="237">
        <v>0</v>
      </c>
      <c r="L47" s="237">
        <v>2</v>
      </c>
      <c r="M47" s="237">
        <v>2</v>
      </c>
      <c r="N47" s="237">
        <v>0</v>
      </c>
      <c r="O47" s="237">
        <v>0</v>
      </c>
      <c r="P47" s="237">
        <v>0</v>
      </c>
      <c r="Q47" s="237">
        <v>0</v>
      </c>
      <c r="R47" s="237">
        <v>0</v>
      </c>
      <c r="S47" s="237">
        <v>0</v>
      </c>
      <c r="T47" s="237">
        <v>0</v>
      </c>
      <c r="U47" s="237">
        <v>0</v>
      </c>
      <c r="V47" s="237">
        <v>0</v>
      </c>
      <c r="W47" s="237">
        <v>0</v>
      </c>
    </row>
    <row r="48" spans="1:23" ht="72.75" customHeight="1">
      <c r="A48" s="230" t="s">
        <v>662</v>
      </c>
      <c r="B48" s="230" t="s">
        <v>815</v>
      </c>
      <c r="C48" s="229" t="s">
        <v>63</v>
      </c>
      <c r="D48" s="236">
        <v>44</v>
      </c>
      <c r="E48" s="236">
        <v>95</v>
      </c>
      <c r="F48" s="236">
        <v>214</v>
      </c>
      <c r="G48" s="236">
        <v>440</v>
      </c>
      <c r="H48" s="236">
        <v>44</v>
      </c>
      <c r="I48" s="236">
        <v>44</v>
      </c>
      <c r="J48" s="236">
        <v>185</v>
      </c>
      <c r="K48" s="236">
        <v>157</v>
      </c>
      <c r="L48" s="236">
        <v>12</v>
      </c>
      <c r="M48" s="236">
        <v>12</v>
      </c>
      <c r="N48" s="236">
        <v>9</v>
      </c>
      <c r="O48" s="236">
        <v>12</v>
      </c>
      <c r="P48" s="236">
        <v>0</v>
      </c>
      <c r="Q48" s="236">
        <v>0</v>
      </c>
      <c r="R48" s="236">
        <v>9</v>
      </c>
      <c r="S48" s="236">
        <v>23</v>
      </c>
      <c r="T48" s="236">
        <v>20</v>
      </c>
      <c r="U48" s="236">
        <v>31</v>
      </c>
      <c r="V48" s="236">
        <v>5</v>
      </c>
      <c r="W48" s="236">
        <v>8</v>
      </c>
    </row>
    <row r="49" spans="1:23" ht="72.75" customHeight="1">
      <c r="A49" s="230" t="s">
        <v>662</v>
      </c>
      <c r="B49" s="230" t="s">
        <v>815</v>
      </c>
      <c r="C49" s="229" t="s">
        <v>64</v>
      </c>
      <c r="D49" s="236">
        <v>40</v>
      </c>
      <c r="E49" s="236">
        <v>57</v>
      </c>
      <c r="F49" s="236">
        <v>168</v>
      </c>
      <c r="G49" s="236">
        <v>319</v>
      </c>
      <c r="H49" s="236">
        <v>29</v>
      </c>
      <c r="I49" s="236">
        <v>37</v>
      </c>
      <c r="J49" s="236">
        <v>82</v>
      </c>
      <c r="K49" s="236">
        <v>65</v>
      </c>
      <c r="L49" s="236">
        <v>20</v>
      </c>
      <c r="M49" s="236">
        <v>14</v>
      </c>
      <c r="N49" s="236">
        <v>5</v>
      </c>
      <c r="O49" s="236">
        <v>8</v>
      </c>
      <c r="P49" s="236">
        <v>0</v>
      </c>
      <c r="Q49" s="236">
        <v>1</v>
      </c>
      <c r="R49" s="236">
        <v>6</v>
      </c>
      <c r="S49" s="236">
        <v>8</v>
      </c>
      <c r="T49" s="236">
        <v>27</v>
      </c>
      <c r="U49" s="236">
        <v>47</v>
      </c>
      <c r="V49" s="236">
        <v>3</v>
      </c>
      <c r="W49" s="236">
        <v>2</v>
      </c>
    </row>
    <row r="50" spans="1:23" ht="72.75" customHeight="1">
      <c r="A50" s="230" t="s">
        <v>662</v>
      </c>
      <c r="B50" s="230" t="s">
        <v>815</v>
      </c>
      <c r="C50" s="229" t="s">
        <v>65</v>
      </c>
      <c r="D50" s="236">
        <v>37</v>
      </c>
      <c r="E50" s="236">
        <v>107</v>
      </c>
      <c r="F50" s="236">
        <v>183</v>
      </c>
      <c r="G50" s="236">
        <v>411</v>
      </c>
      <c r="H50" s="236">
        <v>44</v>
      </c>
      <c r="I50" s="236">
        <v>76</v>
      </c>
      <c r="J50" s="236">
        <v>131</v>
      </c>
      <c r="K50" s="236">
        <v>138</v>
      </c>
      <c r="L50" s="236">
        <v>9</v>
      </c>
      <c r="M50" s="236">
        <v>12</v>
      </c>
      <c r="N50" s="236">
        <v>5</v>
      </c>
      <c r="O50" s="236">
        <v>8</v>
      </c>
      <c r="P50" s="236">
        <v>0</v>
      </c>
      <c r="Q50" s="236">
        <v>0</v>
      </c>
      <c r="R50" s="236">
        <v>13</v>
      </c>
      <c r="S50" s="236">
        <v>33</v>
      </c>
      <c r="T50" s="236">
        <v>17</v>
      </c>
      <c r="U50" s="236">
        <v>32</v>
      </c>
      <c r="V50" s="236">
        <v>4</v>
      </c>
      <c r="W50" s="236">
        <v>11</v>
      </c>
    </row>
    <row r="51" spans="1:23" ht="72.75" customHeight="1">
      <c r="A51" s="230" t="s">
        <v>662</v>
      </c>
      <c r="B51" s="230" t="s">
        <v>807</v>
      </c>
      <c r="C51" s="229" t="s">
        <v>67</v>
      </c>
      <c r="D51" s="236">
        <v>22</v>
      </c>
      <c r="E51" s="236">
        <v>94</v>
      </c>
      <c r="F51" s="236">
        <v>159</v>
      </c>
      <c r="G51" s="236">
        <v>421</v>
      </c>
      <c r="H51" s="236">
        <v>55</v>
      </c>
      <c r="I51" s="236">
        <v>108</v>
      </c>
      <c r="J51" s="236">
        <v>186</v>
      </c>
      <c r="K51" s="236">
        <v>194</v>
      </c>
      <c r="L51" s="236">
        <v>4</v>
      </c>
      <c r="M51" s="236">
        <v>7</v>
      </c>
      <c r="N51" s="236">
        <v>8</v>
      </c>
      <c r="O51" s="236">
        <v>32</v>
      </c>
      <c r="P51" s="236">
        <v>0</v>
      </c>
      <c r="Q51" s="236">
        <v>0</v>
      </c>
      <c r="R51" s="236">
        <v>11</v>
      </c>
      <c r="S51" s="236">
        <v>16</v>
      </c>
      <c r="T51" s="236">
        <v>17</v>
      </c>
      <c r="U51" s="236">
        <v>45</v>
      </c>
      <c r="V51" s="236">
        <v>7</v>
      </c>
      <c r="W51" s="236">
        <v>9</v>
      </c>
    </row>
    <row r="52" spans="1:23" ht="72.75" customHeight="1">
      <c r="A52" s="230" t="s">
        <v>662</v>
      </c>
      <c r="B52" s="230" t="s">
        <v>807</v>
      </c>
      <c r="C52" s="229" t="s">
        <v>68</v>
      </c>
      <c r="D52" s="236">
        <v>13</v>
      </c>
      <c r="E52" s="236">
        <v>68</v>
      </c>
      <c r="F52" s="236">
        <v>83</v>
      </c>
      <c r="G52" s="236">
        <v>335</v>
      </c>
      <c r="H52" s="236">
        <v>24</v>
      </c>
      <c r="I52" s="236">
        <v>139</v>
      </c>
      <c r="J52" s="236">
        <v>80</v>
      </c>
      <c r="K52" s="236">
        <v>287</v>
      </c>
      <c r="L52" s="236">
        <v>6</v>
      </c>
      <c r="M52" s="236">
        <v>14</v>
      </c>
      <c r="N52" s="236">
        <v>3</v>
      </c>
      <c r="O52" s="236">
        <v>8</v>
      </c>
      <c r="P52" s="236">
        <v>1</v>
      </c>
      <c r="Q52" s="236">
        <v>2</v>
      </c>
      <c r="R52" s="236">
        <v>0</v>
      </c>
      <c r="S52" s="236">
        <v>3</v>
      </c>
      <c r="T52" s="236">
        <v>5</v>
      </c>
      <c r="U52" s="236">
        <v>23</v>
      </c>
      <c r="V52" s="236">
        <v>2</v>
      </c>
      <c r="W52" s="236">
        <v>19</v>
      </c>
    </row>
    <row r="53" spans="1:23" ht="72.75" customHeight="1">
      <c r="A53" s="230" t="s">
        <v>662</v>
      </c>
      <c r="B53" s="230" t="s">
        <v>807</v>
      </c>
      <c r="C53" s="229" t="s">
        <v>69</v>
      </c>
      <c r="D53" s="236">
        <v>45</v>
      </c>
      <c r="E53" s="236">
        <v>67</v>
      </c>
      <c r="F53" s="236">
        <v>186</v>
      </c>
      <c r="G53" s="236">
        <v>305</v>
      </c>
      <c r="H53" s="236">
        <v>56</v>
      </c>
      <c r="I53" s="236">
        <v>67</v>
      </c>
      <c r="J53" s="236">
        <v>128</v>
      </c>
      <c r="K53" s="236">
        <v>218</v>
      </c>
      <c r="L53" s="236">
        <v>4</v>
      </c>
      <c r="M53" s="236">
        <v>14</v>
      </c>
      <c r="N53" s="236">
        <v>4</v>
      </c>
      <c r="O53" s="236">
        <v>10</v>
      </c>
      <c r="P53" s="236">
        <v>0</v>
      </c>
      <c r="Q53" s="236">
        <v>0</v>
      </c>
      <c r="R53" s="236">
        <v>2</v>
      </c>
      <c r="S53" s="236">
        <v>5</v>
      </c>
      <c r="T53" s="236">
        <v>6</v>
      </c>
      <c r="U53" s="236">
        <v>27</v>
      </c>
      <c r="V53" s="236">
        <v>9</v>
      </c>
      <c r="W53" s="236">
        <v>14</v>
      </c>
    </row>
    <row r="54" spans="1:23" ht="72.75" customHeight="1">
      <c r="A54" s="230" t="s">
        <v>662</v>
      </c>
      <c r="B54" s="230" t="s">
        <v>807</v>
      </c>
      <c r="C54" s="229" t="s">
        <v>70</v>
      </c>
      <c r="D54" s="236">
        <v>18</v>
      </c>
      <c r="E54" s="236">
        <v>45</v>
      </c>
      <c r="F54" s="236">
        <v>124</v>
      </c>
      <c r="G54" s="236">
        <v>211</v>
      </c>
      <c r="H54" s="236">
        <v>49</v>
      </c>
      <c r="I54" s="236">
        <v>60</v>
      </c>
      <c r="J54" s="236">
        <v>175</v>
      </c>
      <c r="K54" s="236">
        <v>152</v>
      </c>
      <c r="L54" s="236">
        <v>4</v>
      </c>
      <c r="M54" s="236">
        <v>4</v>
      </c>
      <c r="N54" s="236">
        <v>7</v>
      </c>
      <c r="O54" s="236">
        <v>6</v>
      </c>
      <c r="P54" s="236">
        <v>0</v>
      </c>
      <c r="Q54" s="236">
        <v>0</v>
      </c>
      <c r="R54" s="236">
        <v>7</v>
      </c>
      <c r="S54" s="236">
        <v>12</v>
      </c>
      <c r="T54" s="236">
        <v>5</v>
      </c>
      <c r="U54" s="236">
        <v>16</v>
      </c>
      <c r="V54" s="236">
        <v>3</v>
      </c>
      <c r="W54" s="236">
        <v>8</v>
      </c>
    </row>
    <row r="55" spans="1:23" ht="72.75" customHeight="1">
      <c r="A55" s="230" t="s">
        <v>801</v>
      </c>
      <c r="B55" s="230" t="s">
        <v>816</v>
      </c>
      <c r="C55" s="229" t="s">
        <v>675</v>
      </c>
      <c r="D55" s="236">
        <v>94</v>
      </c>
      <c r="E55" s="236">
        <v>141</v>
      </c>
      <c r="F55" s="236">
        <v>473</v>
      </c>
      <c r="G55" s="236">
        <v>567</v>
      </c>
      <c r="H55" s="236">
        <v>106</v>
      </c>
      <c r="I55" s="236">
        <v>89</v>
      </c>
      <c r="J55" s="236">
        <v>628</v>
      </c>
      <c r="K55" s="236">
        <v>290</v>
      </c>
      <c r="L55" s="236">
        <v>15</v>
      </c>
      <c r="M55" s="236">
        <v>20</v>
      </c>
      <c r="N55" s="236">
        <v>6</v>
      </c>
      <c r="O55" s="236">
        <v>3</v>
      </c>
      <c r="P55" s="236">
        <v>0</v>
      </c>
      <c r="Q55" s="236">
        <v>0</v>
      </c>
      <c r="R55" s="236">
        <v>1</v>
      </c>
      <c r="S55" s="236">
        <v>7</v>
      </c>
      <c r="T55" s="236">
        <v>40</v>
      </c>
      <c r="U55" s="236">
        <v>51</v>
      </c>
      <c r="V55" s="238">
        <v>25</v>
      </c>
      <c r="W55" s="279">
        <v>20</v>
      </c>
    </row>
    <row r="56" spans="1:23" ht="72.75" customHeight="1">
      <c r="A56" s="230" t="s">
        <v>801</v>
      </c>
      <c r="B56" s="230" t="s">
        <v>817</v>
      </c>
      <c r="C56" s="230" t="s">
        <v>714</v>
      </c>
      <c r="D56" s="279">
        <v>20</v>
      </c>
      <c r="E56" s="279">
        <v>25</v>
      </c>
      <c r="F56" s="279">
        <v>132</v>
      </c>
      <c r="G56" s="279">
        <v>190</v>
      </c>
      <c r="H56" s="279">
        <v>0</v>
      </c>
      <c r="I56" s="279">
        <v>0</v>
      </c>
      <c r="J56" s="279">
        <v>0</v>
      </c>
      <c r="K56" s="279">
        <v>0</v>
      </c>
      <c r="L56" s="279">
        <v>0</v>
      </c>
      <c r="M56" s="279">
        <v>0</v>
      </c>
      <c r="N56" s="279">
        <v>0</v>
      </c>
      <c r="O56" s="279">
        <v>0</v>
      </c>
      <c r="P56" s="279">
        <v>0</v>
      </c>
      <c r="Q56" s="279">
        <v>0</v>
      </c>
      <c r="R56" s="279">
        <v>0</v>
      </c>
      <c r="S56" s="279">
        <v>0</v>
      </c>
      <c r="T56" s="279">
        <v>0</v>
      </c>
      <c r="U56" s="279">
        <v>0</v>
      </c>
      <c r="V56" s="279">
        <v>0</v>
      </c>
      <c r="W56" s="279">
        <v>0</v>
      </c>
    </row>
    <row r="57" spans="1:23" ht="72.75" customHeight="1">
      <c r="A57" s="230" t="s">
        <v>801</v>
      </c>
      <c r="B57" s="230" t="s">
        <v>816</v>
      </c>
      <c r="C57" s="230" t="s">
        <v>715</v>
      </c>
      <c r="D57" s="279" t="s">
        <v>110</v>
      </c>
      <c r="E57" s="279" t="s">
        <v>110</v>
      </c>
      <c r="F57" s="279">
        <v>2</v>
      </c>
      <c r="G57" s="279">
        <v>1</v>
      </c>
      <c r="H57" s="279">
        <v>88</v>
      </c>
      <c r="I57" s="279">
        <v>121</v>
      </c>
      <c r="J57" s="279">
        <v>207</v>
      </c>
      <c r="K57" s="279">
        <v>104</v>
      </c>
      <c r="L57" s="279">
        <v>0</v>
      </c>
      <c r="M57" s="279">
        <v>3</v>
      </c>
      <c r="N57" s="279">
        <v>0</v>
      </c>
      <c r="O57" s="279">
        <v>0</v>
      </c>
      <c r="P57" s="279">
        <v>0</v>
      </c>
      <c r="Q57" s="279">
        <v>0</v>
      </c>
      <c r="R57" s="279">
        <v>0</v>
      </c>
      <c r="S57" s="279">
        <v>0</v>
      </c>
      <c r="T57" s="279">
        <v>9</v>
      </c>
      <c r="U57" s="279">
        <v>11</v>
      </c>
      <c r="V57" s="279">
        <v>10</v>
      </c>
      <c r="W57" s="279">
        <v>7</v>
      </c>
    </row>
    <row r="58" spans="1:23" ht="72.75" customHeight="1">
      <c r="A58" s="230" t="s">
        <v>801</v>
      </c>
      <c r="B58" s="230" t="s">
        <v>818</v>
      </c>
      <c r="C58" s="229" t="s">
        <v>676</v>
      </c>
      <c r="D58" s="279">
        <v>29</v>
      </c>
      <c r="E58" s="279">
        <v>55</v>
      </c>
      <c r="F58" s="279">
        <v>214</v>
      </c>
      <c r="G58" s="279">
        <v>329</v>
      </c>
      <c r="H58" s="279">
        <v>97</v>
      </c>
      <c r="I58" s="279">
        <v>79</v>
      </c>
      <c r="J58" s="279">
        <v>248</v>
      </c>
      <c r="K58" s="279">
        <v>140</v>
      </c>
      <c r="L58" s="279">
        <v>7</v>
      </c>
      <c r="M58" s="279">
        <v>11</v>
      </c>
      <c r="N58" s="279">
        <v>3</v>
      </c>
      <c r="O58" s="279">
        <v>2</v>
      </c>
      <c r="P58" s="279">
        <v>0</v>
      </c>
      <c r="Q58" s="279">
        <v>0</v>
      </c>
      <c r="R58" s="279">
        <v>0</v>
      </c>
      <c r="S58" s="279">
        <v>1</v>
      </c>
      <c r="T58" s="279">
        <v>26</v>
      </c>
      <c r="U58" s="279">
        <v>38</v>
      </c>
      <c r="V58" s="279">
        <v>12</v>
      </c>
      <c r="W58" s="279">
        <v>15</v>
      </c>
    </row>
    <row r="59" spans="1:23" ht="72.75" customHeight="1">
      <c r="A59" s="230" t="s">
        <v>801</v>
      </c>
      <c r="B59" s="230" t="s">
        <v>818</v>
      </c>
      <c r="C59" s="230" t="s">
        <v>716</v>
      </c>
      <c r="D59" s="279" t="s">
        <v>110</v>
      </c>
      <c r="E59" s="279" t="s">
        <v>110</v>
      </c>
      <c r="F59" s="279" t="s">
        <v>110</v>
      </c>
      <c r="G59" s="279" t="s">
        <v>110</v>
      </c>
      <c r="H59" s="279" t="s">
        <v>110</v>
      </c>
      <c r="I59" s="279" t="s">
        <v>110</v>
      </c>
      <c r="J59" s="279" t="s">
        <v>110</v>
      </c>
      <c r="K59" s="279" t="s">
        <v>110</v>
      </c>
      <c r="L59" s="279" t="s">
        <v>112</v>
      </c>
      <c r="M59" s="279" t="s">
        <v>110</v>
      </c>
      <c r="N59" s="279" t="s">
        <v>112</v>
      </c>
      <c r="O59" s="279" t="s">
        <v>110</v>
      </c>
      <c r="P59" s="279" t="s">
        <v>110</v>
      </c>
      <c r="Q59" s="279" t="s">
        <v>110</v>
      </c>
      <c r="R59" s="279" t="s">
        <v>110</v>
      </c>
      <c r="S59" s="279" t="s">
        <v>110</v>
      </c>
      <c r="T59" s="279" t="s">
        <v>110</v>
      </c>
      <c r="U59" s="279" t="s">
        <v>110</v>
      </c>
      <c r="V59" s="279" t="s">
        <v>110</v>
      </c>
      <c r="W59" s="279" t="s">
        <v>110</v>
      </c>
    </row>
    <row r="60" spans="1:23" ht="72.75" customHeight="1">
      <c r="A60" s="230" t="s">
        <v>801</v>
      </c>
      <c r="B60" s="230" t="s">
        <v>819</v>
      </c>
      <c r="C60" s="230" t="s">
        <v>677</v>
      </c>
      <c r="D60" s="279">
        <v>29</v>
      </c>
      <c r="E60" s="279">
        <v>37</v>
      </c>
      <c r="F60" s="279">
        <v>221</v>
      </c>
      <c r="G60" s="279">
        <v>245</v>
      </c>
      <c r="H60" s="279">
        <v>79</v>
      </c>
      <c r="I60" s="279">
        <v>66</v>
      </c>
      <c r="J60" s="279">
        <v>398</v>
      </c>
      <c r="K60" s="279">
        <v>154</v>
      </c>
      <c r="L60" s="279">
        <v>5</v>
      </c>
      <c r="M60" s="279">
        <v>6</v>
      </c>
      <c r="N60" s="279">
        <v>3</v>
      </c>
      <c r="O60" s="279">
        <v>2</v>
      </c>
      <c r="P60" s="279">
        <v>1</v>
      </c>
      <c r="Q60" s="279">
        <v>0</v>
      </c>
      <c r="R60" s="279">
        <v>1</v>
      </c>
      <c r="S60" s="279">
        <v>0</v>
      </c>
      <c r="T60" s="279">
        <v>26</v>
      </c>
      <c r="U60" s="279">
        <v>29</v>
      </c>
      <c r="V60" s="279">
        <v>2</v>
      </c>
      <c r="W60" s="279">
        <v>14</v>
      </c>
    </row>
    <row r="61" spans="1:23" ht="72.75" customHeight="1">
      <c r="A61" s="230" t="s">
        <v>801</v>
      </c>
      <c r="B61" s="230" t="s">
        <v>820</v>
      </c>
      <c r="C61" s="230" t="s">
        <v>717</v>
      </c>
      <c r="D61" s="279" t="s">
        <v>110</v>
      </c>
      <c r="E61" s="279" t="s">
        <v>110</v>
      </c>
      <c r="F61" s="279" t="s">
        <v>110</v>
      </c>
      <c r="G61" s="279" t="s">
        <v>110</v>
      </c>
      <c r="H61" s="279" t="s">
        <v>110</v>
      </c>
      <c r="I61" s="279" t="s">
        <v>110</v>
      </c>
      <c r="J61" s="279" t="s">
        <v>110</v>
      </c>
      <c r="K61" s="279" t="s">
        <v>110</v>
      </c>
      <c r="L61" s="279" t="s">
        <v>112</v>
      </c>
      <c r="M61" s="279" t="s">
        <v>110</v>
      </c>
      <c r="N61" s="279" t="s">
        <v>112</v>
      </c>
      <c r="O61" s="279" t="s">
        <v>110</v>
      </c>
      <c r="P61" s="279" t="s">
        <v>110</v>
      </c>
      <c r="Q61" s="279" t="s">
        <v>110</v>
      </c>
      <c r="R61" s="279" t="s">
        <v>110</v>
      </c>
      <c r="S61" s="279" t="s">
        <v>110</v>
      </c>
      <c r="T61" s="279" t="s">
        <v>110</v>
      </c>
      <c r="U61" s="279" t="s">
        <v>110</v>
      </c>
      <c r="V61" s="279" t="s">
        <v>110</v>
      </c>
      <c r="W61" s="279" t="s">
        <v>110</v>
      </c>
    </row>
    <row r="62" spans="1:23" ht="72.75" customHeight="1">
      <c r="A62" s="230" t="s">
        <v>801</v>
      </c>
      <c r="B62" s="230" t="s">
        <v>821</v>
      </c>
      <c r="C62" s="229" t="s">
        <v>678</v>
      </c>
      <c r="D62" s="279">
        <v>56</v>
      </c>
      <c r="E62" s="279">
        <v>90</v>
      </c>
      <c r="F62" s="279">
        <v>194</v>
      </c>
      <c r="G62" s="279">
        <v>430</v>
      </c>
      <c r="H62" s="279">
        <v>59</v>
      </c>
      <c r="I62" s="279">
        <v>88</v>
      </c>
      <c r="J62" s="279">
        <v>125</v>
      </c>
      <c r="K62" s="279">
        <v>89</v>
      </c>
      <c r="L62" s="279">
        <v>10</v>
      </c>
      <c r="M62" s="279">
        <v>15</v>
      </c>
      <c r="N62" s="279">
        <v>3</v>
      </c>
      <c r="O62" s="279">
        <v>2</v>
      </c>
      <c r="P62" s="279">
        <v>0</v>
      </c>
      <c r="Q62" s="279">
        <v>0</v>
      </c>
      <c r="R62" s="279">
        <v>0</v>
      </c>
      <c r="S62" s="279">
        <v>0</v>
      </c>
      <c r="T62" s="279">
        <v>19</v>
      </c>
      <c r="U62" s="279">
        <v>38</v>
      </c>
      <c r="V62" s="279">
        <v>7</v>
      </c>
      <c r="W62" s="279">
        <v>6</v>
      </c>
    </row>
    <row r="63" spans="1:23" ht="72.75" customHeight="1">
      <c r="A63" s="230" t="s">
        <v>801</v>
      </c>
      <c r="B63" s="230" t="s">
        <v>822</v>
      </c>
      <c r="C63" s="229" t="s">
        <v>679</v>
      </c>
      <c r="D63" s="279">
        <v>41</v>
      </c>
      <c r="E63" s="279">
        <v>38</v>
      </c>
      <c r="F63" s="279">
        <v>254</v>
      </c>
      <c r="G63" s="279">
        <v>267</v>
      </c>
      <c r="H63" s="279">
        <v>88</v>
      </c>
      <c r="I63" s="279">
        <v>56</v>
      </c>
      <c r="J63" s="279">
        <v>369</v>
      </c>
      <c r="K63" s="279">
        <v>181</v>
      </c>
      <c r="L63" s="279">
        <v>6</v>
      </c>
      <c r="M63" s="279">
        <v>5</v>
      </c>
      <c r="N63" s="279">
        <v>2</v>
      </c>
      <c r="O63" s="279">
        <v>2</v>
      </c>
      <c r="P63" s="279">
        <v>0</v>
      </c>
      <c r="Q63" s="279">
        <v>0</v>
      </c>
      <c r="R63" s="279">
        <v>0</v>
      </c>
      <c r="S63" s="279">
        <v>1</v>
      </c>
      <c r="T63" s="279">
        <v>23</v>
      </c>
      <c r="U63" s="279">
        <v>27</v>
      </c>
      <c r="V63" s="279">
        <v>21</v>
      </c>
      <c r="W63" s="279">
        <v>19</v>
      </c>
    </row>
    <row r="64" spans="1:23" ht="72.75" customHeight="1">
      <c r="A64" s="230" t="s">
        <v>801</v>
      </c>
      <c r="B64" s="230" t="s">
        <v>822</v>
      </c>
      <c r="C64" s="230" t="s">
        <v>932</v>
      </c>
      <c r="D64" s="279">
        <v>11</v>
      </c>
      <c r="E64" s="279">
        <v>14</v>
      </c>
      <c r="F64" s="279">
        <v>217</v>
      </c>
      <c r="G64" s="279">
        <v>128</v>
      </c>
      <c r="H64" s="279">
        <v>0</v>
      </c>
      <c r="I64" s="279">
        <v>0</v>
      </c>
      <c r="J64" s="279">
        <v>0</v>
      </c>
      <c r="K64" s="279">
        <v>0</v>
      </c>
      <c r="L64" s="279">
        <v>0</v>
      </c>
      <c r="M64" s="279">
        <v>0</v>
      </c>
      <c r="N64" s="279">
        <v>2</v>
      </c>
      <c r="O64" s="279">
        <v>3</v>
      </c>
      <c r="P64" s="279">
        <v>0</v>
      </c>
      <c r="Q64" s="279">
        <v>0</v>
      </c>
      <c r="R64" s="279">
        <v>0</v>
      </c>
      <c r="S64" s="279">
        <v>0</v>
      </c>
      <c r="T64" s="279">
        <v>0</v>
      </c>
      <c r="U64" s="279">
        <v>0</v>
      </c>
      <c r="V64" s="279">
        <v>0</v>
      </c>
      <c r="W64" s="279">
        <v>0</v>
      </c>
    </row>
    <row r="65" spans="1:23" ht="72.75" customHeight="1">
      <c r="A65" s="230" t="s">
        <v>801</v>
      </c>
      <c r="B65" s="230" t="s">
        <v>822</v>
      </c>
      <c r="C65" s="230" t="s">
        <v>931</v>
      </c>
      <c r="D65" s="279" t="s">
        <v>110</v>
      </c>
      <c r="E65" s="279" t="s">
        <v>110</v>
      </c>
      <c r="F65" s="279">
        <v>0</v>
      </c>
      <c r="G65" s="279">
        <v>0</v>
      </c>
      <c r="H65" s="279">
        <v>137</v>
      </c>
      <c r="I65" s="279">
        <v>99</v>
      </c>
      <c r="J65" s="279">
        <v>804</v>
      </c>
      <c r="K65" s="279">
        <v>813</v>
      </c>
      <c r="L65" s="279">
        <v>1</v>
      </c>
      <c r="M65" s="279">
        <v>5</v>
      </c>
      <c r="N65" s="279">
        <v>0</v>
      </c>
      <c r="O65" s="279">
        <v>0</v>
      </c>
      <c r="P65" s="279">
        <v>0</v>
      </c>
      <c r="Q65" s="279">
        <v>0</v>
      </c>
      <c r="R65" s="279">
        <v>0</v>
      </c>
      <c r="S65" s="279">
        <v>0</v>
      </c>
      <c r="T65" s="279">
        <v>19</v>
      </c>
      <c r="U65" s="279">
        <v>25</v>
      </c>
      <c r="V65" s="279">
        <v>28</v>
      </c>
      <c r="W65" s="279">
        <v>28</v>
      </c>
    </row>
    <row r="66" spans="1:23" ht="72.75" customHeight="1">
      <c r="A66" s="230" t="s">
        <v>801</v>
      </c>
      <c r="B66" s="230" t="s">
        <v>822</v>
      </c>
      <c r="C66" s="230" t="s">
        <v>718</v>
      </c>
      <c r="D66" s="279">
        <v>83</v>
      </c>
      <c r="E66" s="279">
        <v>35</v>
      </c>
      <c r="F66" s="279">
        <v>470</v>
      </c>
      <c r="G66" s="279">
        <v>239</v>
      </c>
      <c r="H66" s="279">
        <v>0</v>
      </c>
      <c r="I66" s="279">
        <v>0</v>
      </c>
      <c r="J66" s="279">
        <v>0</v>
      </c>
      <c r="K66" s="279">
        <v>0</v>
      </c>
      <c r="L66" s="279">
        <v>0</v>
      </c>
      <c r="M66" s="279">
        <v>0</v>
      </c>
      <c r="N66" s="279">
        <v>4</v>
      </c>
      <c r="O66" s="279">
        <v>0</v>
      </c>
      <c r="P66" s="279">
        <v>0</v>
      </c>
      <c r="Q66" s="279">
        <v>0</v>
      </c>
      <c r="R66" s="279">
        <v>0</v>
      </c>
      <c r="S66" s="279">
        <v>0</v>
      </c>
      <c r="T66" s="279">
        <v>0</v>
      </c>
      <c r="U66" s="279">
        <v>0</v>
      </c>
      <c r="V66" s="279">
        <v>0</v>
      </c>
      <c r="W66" s="279">
        <v>0</v>
      </c>
    </row>
    <row r="67" spans="1:23" ht="72.75" customHeight="1">
      <c r="A67" s="230" t="s">
        <v>801</v>
      </c>
      <c r="B67" s="230" t="s">
        <v>822</v>
      </c>
      <c r="C67" s="230" t="s">
        <v>719</v>
      </c>
      <c r="D67" s="279" t="s">
        <v>110</v>
      </c>
      <c r="E67" s="279" t="s">
        <v>110</v>
      </c>
      <c r="F67" s="279">
        <v>0</v>
      </c>
      <c r="G67" s="279">
        <v>0</v>
      </c>
      <c r="H67" s="279">
        <v>244</v>
      </c>
      <c r="I67" s="279">
        <v>113</v>
      </c>
      <c r="J67" s="279">
        <v>648</v>
      </c>
      <c r="K67" s="279">
        <v>480</v>
      </c>
      <c r="L67" s="279">
        <v>3</v>
      </c>
      <c r="M67" s="279">
        <v>1</v>
      </c>
      <c r="N67" s="279">
        <v>0</v>
      </c>
      <c r="O67" s="279">
        <v>0</v>
      </c>
      <c r="P67" s="279">
        <v>0</v>
      </c>
      <c r="Q67" s="279">
        <v>0</v>
      </c>
      <c r="R67" s="279">
        <v>0</v>
      </c>
      <c r="S67" s="279">
        <v>0</v>
      </c>
      <c r="T67" s="279">
        <v>22</v>
      </c>
      <c r="U67" s="279">
        <v>25</v>
      </c>
      <c r="V67" s="279">
        <v>86</v>
      </c>
      <c r="W67" s="279">
        <v>54</v>
      </c>
    </row>
    <row r="68" spans="1:23" ht="72.75" customHeight="1">
      <c r="A68" s="230" t="s">
        <v>801</v>
      </c>
      <c r="B68" s="230" t="s">
        <v>823</v>
      </c>
      <c r="C68" s="230" t="s">
        <v>680</v>
      </c>
      <c r="D68" s="279">
        <v>40</v>
      </c>
      <c r="E68" s="279">
        <v>83</v>
      </c>
      <c r="F68" s="279">
        <v>149</v>
      </c>
      <c r="G68" s="279">
        <v>423</v>
      </c>
      <c r="H68" s="279">
        <v>49</v>
      </c>
      <c r="I68" s="279">
        <v>78</v>
      </c>
      <c r="J68" s="279">
        <v>133</v>
      </c>
      <c r="K68" s="279">
        <v>117</v>
      </c>
      <c r="L68" s="279">
        <v>3</v>
      </c>
      <c r="M68" s="279">
        <v>23</v>
      </c>
      <c r="N68" s="279">
        <v>0</v>
      </c>
      <c r="O68" s="279">
        <v>1</v>
      </c>
      <c r="P68" s="279">
        <v>0</v>
      </c>
      <c r="Q68" s="279">
        <v>1</v>
      </c>
      <c r="R68" s="279">
        <v>1</v>
      </c>
      <c r="S68" s="279">
        <v>3</v>
      </c>
      <c r="T68" s="279">
        <v>13</v>
      </c>
      <c r="U68" s="279">
        <v>48</v>
      </c>
      <c r="V68" s="279">
        <v>2</v>
      </c>
      <c r="W68" s="279">
        <v>9</v>
      </c>
    </row>
    <row r="69" spans="1:23" ht="72.75" customHeight="1">
      <c r="A69" s="230" t="s">
        <v>801</v>
      </c>
      <c r="B69" s="230" t="s">
        <v>823</v>
      </c>
      <c r="C69" s="230" t="s">
        <v>720</v>
      </c>
      <c r="D69" s="279" t="s">
        <v>110</v>
      </c>
      <c r="E69" s="279" t="s">
        <v>110</v>
      </c>
      <c r="F69" s="279" t="s">
        <v>110</v>
      </c>
      <c r="G69" s="279" t="s">
        <v>110</v>
      </c>
      <c r="H69" s="279" t="s">
        <v>110</v>
      </c>
      <c r="I69" s="279" t="s">
        <v>110</v>
      </c>
      <c r="J69" s="279" t="s">
        <v>110</v>
      </c>
      <c r="K69" s="279" t="s">
        <v>110</v>
      </c>
      <c r="L69" s="279" t="s">
        <v>112</v>
      </c>
      <c r="M69" s="279" t="s">
        <v>110</v>
      </c>
      <c r="N69" s="279" t="s">
        <v>112</v>
      </c>
      <c r="O69" s="279" t="s">
        <v>110</v>
      </c>
      <c r="P69" s="279" t="s">
        <v>110</v>
      </c>
      <c r="Q69" s="279" t="s">
        <v>110</v>
      </c>
      <c r="R69" s="279" t="s">
        <v>110</v>
      </c>
      <c r="S69" s="279" t="s">
        <v>110</v>
      </c>
      <c r="T69" s="279" t="s">
        <v>110</v>
      </c>
      <c r="U69" s="279" t="s">
        <v>110</v>
      </c>
      <c r="V69" s="279" t="s">
        <v>110</v>
      </c>
      <c r="W69" s="279" t="s">
        <v>110</v>
      </c>
    </row>
    <row r="70" spans="1:23" ht="72.75" customHeight="1">
      <c r="A70" s="230" t="s">
        <v>801</v>
      </c>
      <c r="B70" s="230" t="s">
        <v>117</v>
      </c>
      <c r="C70" s="229" t="s">
        <v>681</v>
      </c>
      <c r="D70" s="279" t="s">
        <v>110</v>
      </c>
      <c r="E70" s="279" t="s">
        <v>110</v>
      </c>
      <c r="F70" s="279" t="s">
        <v>110</v>
      </c>
      <c r="G70" s="279" t="s">
        <v>110</v>
      </c>
      <c r="H70" s="279" t="s">
        <v>110</v>
      </c>
      <c r="I70" s="279" t="s">
        <v>110</v>
      </c>
      <c r="J70" s="279" t="s">
        <v>110</v>
      </c>
      <c r="K70" s="279" t="s">
        <v>110</v>
      </c>
      <c r="L70" s="279" t="s">
        <v>112</v>
      </c>
      <c r="M70" s="279" t="s">
        <v>110</v>
      </c>
      <c r="N70" s="279" t="s">
        <v>112</v>
      </c>
      <c r="O70" s="279" t="s">
        <v>110</v>
      </c>
      <c r="P70" s="279" t="s">
        <v>110</v>
      </c>
      <c r="Q70" s="279" t="s">
        <v>110</v>
      </c>
      <c r="R70" s="279" t="s">
        <v>110</v>
      </c>
      <c r="S70" s="279" t="s">
        <v>110</v>
      </c>
      <c r="T70" s="279" t="s">
        <v>110</v>
      </c>
      <c r="U70" s="279" t="s">
        <v>110</v>
      </c>
      <c r="V70" s="279" t="s">
        <v>110</v>
      </c>
      <c r="W70" s="279" t="s">
        <v>110</v>
      </c>
    </row>
    <row r="71" spans="1:23" ht="72.75" customHeight="1">
      <c r="A71" s="292" t="s">
        <v>663</v>
      </c>
      <c r="B71" s="230" t="s">
        <v>128</v>
      </c>
      <c r="C71" s="229" t="s">
        <v>22</v>
      </c>
      <c r="D71" s="279">
        <v>160</v>
      </c>
      <c r="E71" s="279">
        <v>317</v>
      </c>
      <c r="F71" s="279">
        <v>462</v>
      </c>
      <c r="G71" s="279">
        <v>1054</v>
      </c>
      <c r="H71" s="279">
        <v>102</v>
      </c>
      <c r="I71" s="279">
        <v>221</v>
      </c>
      <c r="J71" s="279">
        <v>774</v>
      </c>
      <c r="K71" s="279">
        <v>1071</v>
      </c>
      <c r="L71" s="279">
        <v>64</v>
      </c>
      <c r="M71" s="279">
        <v>154</v>
      </c>
      <c r="N71" s="279">
        <v>0</v>
      </c>
      <c r="O71" s="279">
        <v>2</v>
      </c>
      <c r="P71" s="279">
        <v>1</v>
      </c>
      <c r="Q71" s="279">
        <v>0</v>
      </c>
      <c r="R71" s="279">
        <v>0</v>
      </c>
      <c r="S71" s="279">
        <v>0</v>
      </c>
      <c r="T71" s="279">
        <v>95</v>
      </c>
      <c r="U71" s="279">
        <v>273</v>
      </c>
      <c r="V71" s="279">
        <v>5</v>
      </c>
      <c r="W71" s="279">
        <v>14</v>
      </c>
    </row>
    <row r="72" spans="1:23" ht="72.75" customHeight="1">
      <c r="A72" s="292" t="s">
        <v>663</v>
      </c>
      <c r="B72" s="230" t="s">
        <v>129</v>
      </c>
      <c r="C72" s="229" t="s">
        <v>130</v>
      </c>
      <c r="D72" s="279">
        <v>296</v>
      </c>
      <c r="E72" s="279">
        <v>180</v>
      </c>
      <c r="F72" s="279">
        <v>856</v>
      </c>
      <c r="G72" s="279">
        <v>539</v>
      </c>
      <c r="H72" s="279">
        <v>140</v>
      </c>
      <c r="I72" s="279">
        <v>61</v>
      </c>
      <c r="J72" s="279">
        <v>404</v>
      </c>
      <c r="K72" s="279">
        <v>122</v>
      </c>
      <c r="L72" s="279">
        <v>70</v>
      </c>
      <c r="M72" s="279">
        <v>53</v>
      </c>
      <c r="N72" s="279">
        <v>13</v>
      </c>
      <c r="O72" s="279">
        <v>4</v>
      </c>
      <c r="P72" s="279">
        <v>0</v>
      </c>
      <c r="Q72" s="279">
        <v>0</v>
      </c>
      <c r="R72" s="279">
        <v>35</v>
      </c>
      <c r="S72" s="279">
        <v>23</v>
      </c>
      <c r="T72" s="279">
        <v>175</v>
      </c>
      <c r="U72" s="279">
        <v>105</v>
      </c>
      <c r="V72" s="279">
        <v>65</v>
      </c>
      <c r="W72" s="279">
        <v>15</v>
      </c>
    </row>
    <row r="73" spans="1:23" ht="72.75" customHeight="1">
      <c r="A73" s="292" t="s">
        <v>663</v>
      </c>
      <c r="B73" s="230" t="s">
        <v>131</v>
      </c>
      <c r="C73" s="229" t="s">
        <v>132</v>
      </c>
      <c r="D73" s="279">
        <v>6</v>
      </c>
      <c r="E73" s="279">
        <v>28</v>
      </c>
      <c r="F73" s="279">
        <v>68</v>
      </c>
      <c r="G73" s="279">
        <v>280</v>
      </c>
      <c r="H73" s="279">
        <v>42</v>
      </c>
      <c r="I73" s="279">
        <v>91</v>
      </c>
      <c r="J73" s="279">
        <v>110</v>
      </c>
      <c r="K73" s="279">
        <v>371</v>
      </c>
      <c r="L73" s="279">
        <v>1</v>
      </c>
      <c r="M73" s="279">
        <v>11</v>
      </c>
      <c r="N73" s="279">
        <v>3</v>
      </c>
      <c r="O73" s="279">
        <v>1</v>
      </c>
      <c r="P73" s="279">
        <v>0</v>
      </c>
      <c r="Q73" s="279">
        <v>0</v>
      </c>
      <c r="R73" s="279">
        <v>0</v>
      </c>
      <c r="S73" s="279">
        <v>1</v>
      </c>
      <c r="T73" s="279">
        <v>12</v>
      </c>
      <c r="U73" s="279">
        <v>41</v>
      </c>
      <c r="V73" s="279">
        <v>4</v>
      </c>
      <c r="W73" s="279">
        <v>18</v>
      </c>
    </row>
    <row r="74" spans="1:23" ht="72.75" customHeight="1">
      <c r="A74" s="292" t="s">
        <v>663</v>
      </c>
      <c r="B74" s="230" t="s">
        <v>131</v>
      </c>
      <c r="C74" s="229" t="s">
        <v>133</v>
      </c>
      <c r="D74" s="279">
        <v>19</v>
      </c>
      <c r="E74" s="279">
        <v>104</v>
      </c>
      <c r="F74" s="279">
        <v>99</v>
      </c>
      <c r="G74" s="279">
        <v>436</v>
      </c>
      <c r="H74" s="279">
        <v>17</v>
      </c>
      <c r="I74" s="279">
        <v>33</v>
      </c>
      <c r="J74" s="279">
        <v>116</v>
      </c>
      <c r="K74" s="279">
        <v>469</v>
      </c>
      <c r="L74" s="279">
        <v>14</v>
      </c>
      <c r="M74" s="279">
        <v>32</v>
      </c>
      <c r="N74" s="279">
        <v>1</v>
      </c>
      <c r="O74" s="279">
        <v>3</v>
      </c>
      <c r="P74" s="279">
        <v>0</v>
      </c>
      <c r="Q74" s="279">
        <v>0</v>
      </c>
      <c r="R74" s="279">
        <v>2</v>
      </c>
      <c r="S74" s="279">
        <v>23</v>
      </c>
      <c r="T74" s="279">
        <v>12</v>
      </c>
      <c r="U74" s="279">
        <v>43</v>
      </c>
      <c r="V74" s="279">
        <v>1</v>
      </c>
      <c r="W74" s="279">
        <v>10</v>
      </c>
    </row>
    <row r="75" spans="1:23" ht="72.75" customHeight="1">
      <c r="A75" s="292" t="s">
        <v>663</v>
      </c>
      <c r="B75" s="230" t="s">
        <v>131</v>
      </c>
      <c r="C75" s="229" t="s">
        <v>834</v>
      </c>
      <c r="D75" s="279">
        <v>22</v>
      </c>
      <c r="E75" s="279">
        <v>34</v>
      </c>
      <c r="F75" s="279">
        <v>173</v>
      </c>
      <c r="G75" s="279">
        <v>304</v>
      </c>
      <c r="H75" s="279">
        <v>63</v>
      </c>
      <c r="I75" s="279">
        <v>81</v>
      </c>
      <c r="J75" s="279">
        <v>168</v>
      </c>
      <c r="K75" s="279">
        <v>284</v>
      </c>
      <c r="L75" s="279">
        <v>11</v>
      </c>
      <c r="M75" s="279">
        <v>14</v>
      </c>
      <c r="N75" s="279">
        <v>0</v>
      </c>
      <c r="O75" s="279">
        <v>0</v>
      </c>
      <c r="P75" s="279">
        <v>1</v>
      </c>
      <c r="Q75" s="279"/>
      <c r="R75" s="279">
        <v>8</v>
      </c>
      <c r="S75" s="279">
        <v>14</v>
      </c>
      <c r="T75" s="279">
        <v>22</v>
      </c>
      <c r="U75" s="279">
        <v>34</v>
      </c>
      <c r="V75" s="279">
        <v>7</v>
      </c>
      <c r="W75" s="279">
        <v>7</v>
      </c>
    </row>
    <row r="76" spans="1:23" ht="72.75" customHeight="1">
      <c r="A76" s="292" t="s">
        <v>663</v>
      </c>
      <c r="B76" s="230" t="s">
        <v>135</v>
      </c>
      <c r="C76" s="229" t="s">
        <v>136</v>
      </c>
      <c r="D76" s="279">
        <v>22</v>
      </c>
      <c r="E76" s="279">
        <v>134</v>
      </c>
      <c r="F76" s="279">
        <v>71</v>
      </c>
      <c r="G76" s="279">
        <v>458</v>
      </c>
      <c r="H76" s="279">
        <v>15</v>
      </c>
      <c r="I76" s="279">
        <v>43</v>
      </c>
      <c r="J76" s="279">
        <v>1</v>
      </c>
      <c r="K76" s="279">
        <v>4</v>
      </c>
      <c r="L76" s="279">
        <v>3</v>
      </c>
      <c r="M76" s="279">
        <v>11</v>
      </c>
      <c r="N76" s="279">
        <v>2</v>
      </c>
      <c r="O76" s="279">
        <v>1</v>
      </c>
      <c r="P76" s="279">
        <v>0</v>
      </c>
      <c r="Q76" s="279">
        <v>0</v>
      </c>
      <c r="R76" s="279">
        <v>15</v>
      </c>
      <c r="S76" s="279">
        <v>107</v>
      </c>
      <c r="T76" s="279">
        <v>19</v>
      </c>
      <c r="U76" s="279">
        <v>62</v>
      </c>
      <c r="V76" s="279">
        <v>2</v>
      </c>
      <c r="W76" s="279">
        <v>7</v>
      </c>
    </row>
    <row r="77" spans="1:23" ht="72.75" customHeight="1">
      <c r="A77" s="292" t="s">
        <v>663</v>
      </c>
      <c r="B77" s="230" t="s">
        <v>135</v>
      </c>
      <c r="C77" s="229" t="s">
        <v>137</v>
      </c>
      <c r="D77" s="279">
        <v>27</v>
      </c>
      <c r="E77" s="279">
        <v>115</v>
      </c>
      <c r="F77" s="279">
        <v>95</v>
      </c>
      <c r="G77" s="279">
        <v>370</v>
      </c>
      <c r="H77" s="279">
        <v>31</v>
      </c>
      <c r="I77" s="279">
        <v>39</v>
      </c>
      <c r="J77" s="279">
        <v>116</v>
      </c>
      <c r="K77" s="279">
        <v>179</v>
      </c>
      <c r="L77" s="279">
        <v>11</v>
      </c>
      <c r="M77" s="279">
        <v>22</v>
      </c>
      <c r="N77" s="279">
        <v>0</v>
      </c>
      <c r="O77" s="279">
        <v>0</v>
      </c>
      <c r="P77" s="279">
        <v>0</v>
      </c>
      <c r="Q77" s="279">
        <v>0</v>
      </c>
      <c r="R77" s="279">
        <v>5</v>
      </c>
      <c r="S77" s="279">
        <v>20</v>
      </c>
      <c r="T77" s="279">
        <v>5</v>
      </c>
      <c r="U77" s="279">
        <v>25</v>
      </c>
      <c r="V77" s="279">
        <v>2</v>
      </c>
      <c r="W77" s="279">
        <v>4</v>
      </c>
    </row>
    <row r="78" spans="1:23" ht="72.75" customHeight="1">
      <c r="A78" s="292" t="s">
        <v>663</v>
      </c>
      <c r="B78" s="230" t="s">
        <v>135</v>
      </c>
      <c r="C78" s="229" t="s">
        <v>38</v>
      </c>
      <c r="D78" s="279">
        <v>201</v>
      </c>
      <c r="E78" s="279">
        <v>131</v>
      </c>
      <c r="F78" s="279">
        <v>496</v>
      </c>
      <c r="G78" s="279">
        <v>350</v>
      </c>
      <c r="H78" s="279">
        <v>117</v>
      </c>
      <c r="I78" s="279">
        <v>29</v>
      </c>
      <c r="J78" s="279">
        <v>326</v>
      </c>
      <c r="K78" s="279">
        <v>216</v>
      </c>
      <c r="L78" s="279">
        <v>101</v>
      </c>
      <c r="M78" s="279">
        <v>73</v>
      </c>
      <c r="N78" s="279">
        <v>3</v>
      </c>
      <c r="O78" s="279">
        <v>1</v>
      </c>
      <c r="P78" s="279">
        <v>1</v>
      </c>
      <c r="Q78" s="279"/>
      <c r="R78" s="279">
        <v>17</v>
      </c>
      <c r="S78" s="279">
        <v>21</v>
      </c>
      <c r="T78" s="279">
        <v>57</v>
      </c>
      <c r="U78" s="279">
        <v>41</v>
      </c>
      <c r="V78" s="279">
        <v>22</v>
      </c>
      <c r="W78" s="279">
        <v>7</v>
      </c>
    </row>
    <row r="79" spans="1:23" ht="72.75" customHeight="1">
      <c r="A79" s="292" t="s">
        <v>663</v>
      </c>
      <c r="B79" s="230" t="s">
        <v>135</v>
      </c>
      <c r="C79" s="229" t="s">
        <v>138</v>
      </c>
      <c r="D79" s="279">
        <v>57</v>
      </c>
      <c r="E79" s="279">
        <v>100</v>
      </c>
      <c r="F79" s="279">
        <v>205</v>
      </c>
      <c r="G79" s="279">
        <v>322</v>
      </c>
      <c r="H79" s="279">
        <v>39</v>
      </c>
      <c r="I79" s="279">
        <v>23</v>
      </c>
      <c r="J79" s="279">
        <v>84</v>
      </c>
      <c r="K79" s="279">
        <v>85</v>
      </c>
      <c r="L79" s="279">
        <v>19</v>
      </c>
      <c r="M79" s="279">
        <v>31</v>
      </c>
      <c r="N79" s="279">
        <v>6</v>
      </c>
      <c r="O79" s="279">
        <v>3</v>
      </c>
      <c r="P79" s="279"/>
      <c r="Q79" s="279"/>
      <c r="R79" s="279">
        <v>24</v>
      </c>
      <c r="S79" s="279">
        <v>39</v>
      </c>
      <c r="T79" s="279">
        <v>20</v>
      </c>
      <c r="U79" s="279">
        <v>33</v>
      </c>
      <c r="V79" s="279">
        <v>11</v>
      </c>
      <c r="W79" s="279">
        <v>5</v>
      </c>
    </row>
    <row r="80" spans="1:23" ht="72.75" customHeight="1">
      <c r="A80" s="292" t="s">
        <v>663</v>
      </c>
      <c r="B80" s="230" t="s">
        <v>139</v>
      </c>
      <c r="C80" s="229" t="s">
        <v>51</v>
      </c>
      <c r="D80" s="279">
        <v>34</v>
      </c>
      <c r="E80" s="279">
        <v>97</v>
      </c>
      <c r="F80" s="279">
        <v>100</v>
      </c>
      <c r="G80" s="279">
        <v>258</v>
      </c>
      <c r="H80" s="279">
        <v>37</v>
      </c>
      <c r="I80" s="279">
        <v>62</v>
      </c>
      <c r="J80" s="279">
        <v>34</v>
      </c>
      <c r="K80" s="279">
        <v>65</v>
      </c>
      <c r="L80" s="279">
        <v>10</v>
      </c>
      <c r="M80" s="279">
        <v>34</v>
      </c>
      <c r="N80" s="279">
        <v>0</v>
      </c>
      <c r="O80" s="279">
        <v>0</v>
      </c>
      <c r="P80" s="279">
        <v>0</v>
      </c>
      <c r="Q80" s="279">
        <v>0</v>
      </c>
      <c r="R80" s="279">
        <v>0</v>
      </c>
      <c r="S80" s="279">
        <v>0</v>
      </c>
      <c r="T80" s="279">
        <v>10</v>
      </c>
      <c r="U80" s="279">
        <v>68</v>
      </c>
      <c r="V80" s="279">
        <v>12</v>
      </c>
      <c r="W80" s="279">
        <v>27</v>
      </c>
    </row>
    <row r="81" spans="1:23" ht="72.75" customHeight="1">
      <c r="A81" s="292" t="s">
        <v>663</v>
      </c>
      <c r="B81" s="230" t="s">
        <v>139</v>
      </c>
      <c r="C81" s="230" t="s">
        <v>52</v>
      </c>
      <c r="D81" s="279">
        <v>164</v>
      </c>
      <c r="E81" s="279">
        <v>36</v>
      </c>
      <c r="F81" s="279">
        <v>658</v>
      </c>
      <c r="G81" s="279">
        <v>159</v>
      </c>
      <c r="H81" s="279">
        <v>154</v>
      </c>
      <c r="I81" s="279">
        <v>39</v>
      </c>
      <c r="J81" s="279">
        <v>507</v>
      </c>
      <c r="K81" s="279">
        <v>55</v>
      </c>
      <c r="L81" s="279">
        <v>57</v>
      </c>
      <c r="M81" s="279">
        <v>8</v>
      </c>
      <c r="N81" s="279">
        <v>7</v>
      </c>
      <c r="O81" s="279">
        <v>2</v>
      </c>
      <c r="P81" s="279">
        <v>0</v>
      </c>
      <c r="Q81" s="279">
        <v>0</v>
      </c>
      <c r="R81" s="279">
        <v>15</v>
      </c>
      <c r="S81" s="279">
        <v>4</v>
      </c>
      <c r="T81" s="279">
        <v>73</v>
      </c>
      <c r="U81" s="279">
        <v>20</v>
      </c>
      <c r="V81" s="279">
        <v>30</v>
      </c>
      <c r="W81" s="279">
        <v>7</v>
      </c>
    </row>
    <row r="82" spans="1:23" ht="72.75" customHeight="1">
      <c r="A82" s="292" t="s">
        <v>663</v>
      </c>
      <c r="B82" s="230" t="s">
        <v>141</v>
      </c>
      <c r="C82" s="229" t="s">
        <v>142</v>
      </c>
      <c r="D82" s="279">
        <v>116</v>
      </c>
      <c r="E82" s="279">
        <v>31</v>
      </c>
      <c r="F82" s="279">
        <v>457</v>
      </c>
      <c r="G82" s="279">
        <v>127</v>
      </c>
      <c r="H82" s="279">
        <v>216</v>
      </c>
      <c r="I82" s="279">
        <v>54</v>
      </c>
      <c r="J82" s="279">
        <v>192</v>
      </c>
      <c r="K82" s="279">
        <v>53</v>
      </c>
      <c r="L82" s="279">
        <v>21</v>
      </c>
      <c r="M82" s="279">
        <v>6</v>
      </c>
      <c r="N82" s="279">
        <v>2</v>
      </c>
      <c r="O82" s="279">
        <v>2</v>
      </c>
      <c r="P82" s="279">
        <v>0</v>
      </c>
      <c r="Q82" s="279">
        <v>0</v>
      </c>
      <c r="R82" s="279">
        <v>5</v>
      </c>
      <c r="S82" s="279">
        <v>1</v>
      </c>
      <c r="T82" s="279">
        <v>82</v>
      </c>
      <c r="U82" s="279">
        <v>30</v>
      </c>
      <c r="V82" s="279">
        <v>9</v>
      </c>
      <c r="W82" s="279">
        <v>1</v>
      </c>
    </row>
    <row r="83" spans="1:23" ht="72.75" customHeight="1">
      <c r="A83" s="292" t="s">
        <v>663</v>
      </c>
      <c r="B83" s="230" t="s">
        <v>139</v>
      </c>
      <c r="C83" s="229" t="s">
        <v>55</v>
      </c>
      <c r="D83" s="279">
        <v>116</v>
      </c>
      <c r="E83" s="279">
        <v>64</v>
      </c>
      <c r="F83" s="279">
        <v>299</v>
      </c>
      <c r="G83" s="279">
        <v>177</v>
      </c>
      <c r="H83" s="279">
        <v>87</v>
      </c>
      <c r="I83" s="279">
        <v>78</v>
      </c>
      <c r="J83" s="279">
        <v>515</v>
      </c>
      <c r="K83" s="279">
        <v>145</v>
      </c>
      <c r="L83" s="279">
        <v>76</v>
      </c>
      <c r="M83" s="279">
        <v>27</v>
      </c>
      <c r="N83" s="279">
        <v>2</v>
      </c>
      <c r="O83" s="279">
        <v>0</v>
      </c>
      <c r="P83" s="279">
        <v>3</v>
      </c>
      <c r="Q83" s="279">
        <v>0</v>
      </c>
      <c r="R83" s="279">
        <v>2</v>
      </c>
      <c r="S83" s="279">
        <v>3</v>
      </c>
      <c r="T83" s="279">
        <v>41</v>
      </c>
      <c r="U83" s="279">
        <v>32</v>
      </c>
      <c r="V83" s="279">
        <v>16</v>
      </c>
      <c r="W83" s="279">
        <v>4</v>
      </c>
    </row>
    <row r="84" spans="1:23" ht="72.75" customHeight="1">
      <c r="A84" s="292" t="s">
        <v>663</v>
      </c>
      <c r="B84" s="230" t="s">
        <v>139</v>
      </c>
      <c r="C84" s="229" t="s">
        <v>143</v>
      </c>
      <c r="D84" s="279">
        <v>56</v>
      </c>
      <c r="E84" s="279">
        <v>39</v>
      </c>
      <c r="F84" s="279">
        <v>250</v>
      </c>
      <c r="G84" s="279">
        <v>223</v>
      </c>
      <c r="H84" s="279">
        <v>81</v>
      </c>
      <c r="I84" s="279">
        <v>47</v>
      </c>
      <c r="J84" s="279">
        <v>127</v>
      </c>
      <c r="K84" s="279">
        <v>76</v>
      </c>
      <c r="L84" s="279">
        <v>10</v>
      </c>
      <c r="M84" s="279">
        <v>2</v>
      </c>
      <c r="N84" s="279">
        <v>6</v>
      </c>
      <c r="O84" s="279">
        <v>3</v>
      </c>
      <c r="P84" s="279">
        <v>0</v>
      </c>
      <c r="Q84" s="279">
        <v>0</v>
      </c>
      <c r="R84" s="279">
        <v>1</v>
      </c>
      <c r="S84" s="279">
        <v>18</v>
      </c>
      <c r="T84" s="279">
        <v>35</v>
      </c>
      <c r="U84" s="279">
        <v>22</v>
      </c>
      <c r="V84" s="279">
        <v>7</v>
      </c>
      <c r="W84" s="279">
        <v>6</v>
      </c>
    </row>
    <row r="85" spans="1:23" ht="72.75" customHeight="1">
      <c r="A85" s="292" t="s">
        <v>663</v>
      </c>
      <c r="B85" s="230" t="s">
        <v>144</v>
      </c>
      <c r="C85" s="229" t="s">
        <v>61</v>
      </c>
      <c r="D85" s="279">
        <v>49</v>
      </c>
      <c r="E85" s="279">
        <v>69</v>
      </c>
      <c r="F85" s="279">
        <v>239</v>
      </c>
      <c r="G85" s="279">
        <v>318</v>
      </c>
      <c r="H85" s="279">
        <v>38</v>
      </c>
      <c r="I85" s="279">
        <v>40</v>
      </c>
      <c r="J85" s="279">
        <v>105</v>
      </c>
      <c r="K85" s="279">
        <v>95</v>
      </c>
      <c r="L85" s="279">
        <v>27</v>
      </c>
      <c r="M85" s="279">
        <v>49</v>
      </c>
      <c r="N85" s="279">
        <v>0</v>
      </c>
      <c r="O85" s="279">
        <v>2</v>
      </c>
      <c r="P85" s="279">
        <v>0</v>
      </c>
      <c r="Q85" s="279">
        <v>0</v>
      </c>
      <c r="R85" s="279">
        <v>29</v>
      </c>
      <c r="S85" s="279">
        <v>42</v>
      </c>
      <c r="T85" s="279">
        <v>20</v>
      </c>
      <c r="U85" s="279">
        <v>23</v>
      </c>
      <c r="V85" s="279">
        <v>3</v>
      </c>
      <c r="W85" s="279">
        <v>3</v>
      </c>
    </row>
    <row r="86" spans="1:23" ht="72.75" customHeight="1">
      <c r="A86" s="292" t="s">
        <v>663</v>
      </c>
      <c r="B86" s="230" t="s">
        <v>144</v>
      </c>
      <c r="C86" s="229" t="s">
        <v>145</v>
      </c>
      <c r="D86" s="279">
        <v>34</v>
      </c>
      <c r="E86" s="279">
        <v>83</v>
      </c>
      <c r="F86" s="279">
        <v>158</v>
      </c>
      <c r="G86" s="279">
        <v>297</v>
      </c>
      <c r="H86" s="279">
        <v>46</v>
      </c>
      <c r="I86" s="279">
        <v>45</v>
      </c>
      <c r="J86" s="279">
        <v>72</v>
      </c>
      <c r="K86" s="279">
        <v>131</v>
      </c>
      <c r="L86" s="279">
        <v>10</v>
      </c>
      <c r="M86" s="279">
        <v>25</v>
      </c>
      <c r="N86" s="279">
        <v>2</v>
      </c>
      <c r="O86" s="279">
        <v>1</v>
      </c>
      <c r="P86" s="279">
        <v>0</v>
      </c>
      <c r="Q86" s="279">
        <v>0</v>
      </c>
      <c r="R86" s="279">
        <v>11</v>
      </c>
      <c r="S86" s="279">
        <v>11</v>
      </c>
      <c r="T86" s="279">
        <v>22</v>
      </c>
      <c r="U86" s="279">
        <v>52</v>
      </c>
      <c r="V86" s="279">
        <v>8</v>
      </c>
      <c r="W86" s="279">
        <v>6</v>
      </c>
    </row>
    <row r="87" spans="1:23" ht="72.75" customHeight="1">
      <c r="A87" s="292" t="s">
        <v>663</v>
      </c>
      <c r="B87" s="230" t="s">
        <v>146</v>
      </c>
      <c r="C87" s="229" t="s">
        <v>147</v>
      </c>
      <c r="D87" s="279">
        <v>78</v>
      </c>
      <c r="E87" s="279">
        <v>151</v>
      </c>
      <c r="F87" s="279">
        <v>268</v>
      </c>
      <c r="G87" s="279">
        <v>595</v>
      </c>
      <c r="H87" s="279">
        <v>53</v>
      </c>
      <c r="I87" s="279">
        <v>72</v>
      </c>
      <c r="J87" s="279">
        <v>161</v>
      </c>
      <c r="K87" s="279">
        <v>230</v>
      </c>
      <c r="L87" s="279">
        <v>26</v>
      </c>
      <c r="M87" s="279">
        <v>54</v>
      </c>
      <c r="N87" s="279"/>
      <c r="O87" s="279">
        <v>3</v>
      </c>
      <c r="P87" s="279">
        <v>1</v>
      </c>
      <c r="Q87" s="279"/>
      <c r="R87" s="279">
        <v>14</v>
      </c>
      <c r="S87" s="279">
        <v>75</v>
      </c>
      <c r="T87" s="279">
        <v>24</v>
      </c>
      <c r="U87" s="279">
        <v>37</v>
      </c>
      <c r="V87" s="279">
        <v>4</v>
      </c>
      <c r="W87" s="279">
        <v>12</v>
      </c>
    </row>
    <row r="88" spans="1:23" ht="72.75" customHeight="1">
      <c r="A88" s="292" t="s">
        <v>663</v>
      </c>
      <c r="B88" s="230" t="s">
        <v>146</v>
      </c>
      <c r="C88" s="230" t="s">
        <v>148</v>
      </c>
      <c r="D88" s="279">
        <v>22</v>
      </c>
      <c r="E88" s="279">
        <v>265</v>
      </c>
      <c r="F88" s="279">
        <v>44</v>
      </c>
      <c r="G88" s="279">
        <v>660</v>
      </c>
      <c r="H88" s="279">
        <v>9</v>
      </c>
      <c r="I88" s="279">
        <v>70</v>
      </c>
      <c r="J88" s="279">
        <v>45</v>
      </c>
      <c r="K88" s="279">
        <v>235</v>
      </c>
      <c r="L88" s="279">
        <v>9</v>
      </c>
      <c r="M88" s="279">
        <v>57</v>
      </c>
      <c r="N88" s="279">
        <v>0</v>
      </c>
      <c r="O88" s="279">
        <v>5</v>
      </c>
      <c r="P88" s="279">
        <v>0</v>
      </c>
      <c r="Q88" s="279">
        <v>0</v>
      </c>
      <c r="R88" s="279">
        <v>3</v>
      </c>
      <c r="S88" s="279">
        <v>48</v>
      </c>
      <c r="T88" s="279">
        <v>2</v>
      </c>
      <c r="U88" s="279">
        <v>78</v>
      </c>
      <c r="V88" s="279">
        <v>2</v>
      </c>
      <c r="W88" s="279">
        <v>18</v>
      </c>
    </row>
    <row r="89" spans="1:23" ht="72.75" customHeight="1">
      <c r="A89" s="292" t="s">
        <v>663</v>
      </c>
      <c r="B89" s="230" t="s">
        <v>149</v>
      </c>
      <c r="C89" s="229" t="s">
        <v>150</v>
      </c>
      <c r="D89" s="279">
        <v>34</v>
      </c>
      <c r="E89" s="279">
        <v>14</v>
      </c>
      <c r="F89" s="279">
        <v>271</v>
      </c>
      <c r="G89" s="279">
        <v>230</v>
      </c>
      <c r="H89" s="279">
        <v>86</v>
      </c>
      <c r="I89" s="279">
        <v>56</v>
      </c>
      <c r="J89" s="279">
        <v>228</v>
      </c>
      <c r="K89" s="279">
        <v>101</v>
      </c>
      <c r="L89" s="279">
        <v>17</v>
      </c>
      <c r="M89" s="279">
        <v>8</v>
      </c>
      <c r="N89" s="279">
        <v>0</v>
      </c>
      <c r="O89" s="279">
        <v>1</v>
      </c>
      <c r="P89" s="279">
        <v>0</v>
      </c>
      <c r="Q89" s="279">
        <v>0</v>
      </c>
      <c r="R89" s="279">
        <v>15</v>
      </c>
      <c r="S89" s="279">
        <v>26</v>
      </c>
      <c r="T89" s="279">
        <v>24</v>
      </c>
      <c r="U89" s="279">
        <v>8</v>
      </c>
      <c r="V89" s="279">
        <v>13</v>
      </c>
      <c r="W89" s="279">
        <v>4</v>
      </c>
    </row>
    <row r="90" spans="1:23" ht="72.75" customHeight="1">
      <c r="A90" s="292" t="s">
        <v>663</v>
      </c>
      <c r="B90" s="230" t="s">
        <v>149</v>
      </c>
      <c r="C90" s="230" t="s">
        <v>151</v>
      </c>
      <c r="D90" s="279">
        <v>18</v>
      </c>
      <c r="E90" s="279">
        <v>9</v>
      </c>
      <c r="F90" s="279">
        <v>156</v>
      </c>
      <c r="G90" s="279">
        <v>208</v>
      </c>
      <c r="H90" s="279">
        <v>92</v>
      </c>
      <c r="I90" s="279">
        <v>62</v>
      </c>
      <c r="J90" s="279">
        <v>204</v>
      </c>
      <c r="K90" s="279">
        <v>112</v>
      </c>
      <c r="L90" s="279">
        <v>9</v>
      </c>
      <c r="M90" s="279">
        <v>11</v>
      </c>
      <c r="N90" s="279">
        <v>6</v>
      </c>
      <c r="O90" s="279">
        <v>6</v>
      </c>
      <c r="P90" s="279">
        <v>2</v>
      </c>
      <c r="Q90" s="279">
        <v>0</v>
      </c>
      <c r="R90" s="279">
        <v>0</v>
      </c>
      <c r="S90" s="279">
        <v>1</v>
      </c>
      <c r="T90" s="279">
        <v>10</v>
      </c>
      <c r="U90" s="279">
        <v>17</v>
      </c>
      <c r="V90" s="279">
        <v>13</v>
      </c>
      <c r="W90" s="279">
        <v>2</v>
      </c>
    </row>
    <row r="91" spans="1:23" ht="72.75" customHeight="1">
      <c r="A91" s="292" t="s">
        <v>663</v>
      </c>
      <c r="B91" s="230" t="s">
        <v>152</v>
      </c>
      <c r="C91" s="229" t="s">
        <v>33</v>
      </c>
      <c r="D91" s="279">
        <v>187</v>
      </c>
      <c r="E91" s="279">
        <v>36</v>
      </c>
      <c r="F91" s="279">
        <v>663</v>
      </c>
      <c r="G91" s="279">
        <v>148</v>
      </c>
      <c r="H91" s="279">
        <v>460</v>
      </c>
      <c r="I91" s="279">
        <v>53</v>
      </c>
      <c r="J91" s="279">
        <v>762</v>
      </c>
      <c r="K91" s="279">
        <v>184</v>
      </c>
      <c r="L91" s="279">
        <v>156</v>
      </c>
      <c r="M91" s="279">
        <v>39</v>
      </c>
      <c r="N91" s="279">
        <v>5</v>
      </c>
      <c r="O91" s="279">
        <v>1</v>
      </c>
      <c r="P91" s="279">
        <v>3</v>
      </c>
      <c r="Q91" s="279">
        <v>2</v>
      </c>
      <c r="R91" s="279">
        <v>0</v>
      </c>
      <c r="S91" s="279">
        <v>0</v>
      </c>
      <c r="T91" s="279">
        <v>21</v>
      </c>
      <c r="U91" s="279">
        <v>7</v>
      </c>
      <c r="V91" s="279">
        <v>37</v>
      </c>
      <c r="W91" s="279">
        <v>14</v>
      </c>
    </row>
    <row r="92" spans="1:23" ht="72.75" customHeight="1">
      <c r="A92" s="292" t="s">
        <v>663</v>
      </c>
      <c r="B92" s="230" t="s">
        <v>152</v>
      </c>
      <c r="C92" s="229" t="s">
        <v>34</v>
      </c>
      <c r="D92" s="279">
        <v>14</v>
      </c>
      <c r="E92" s="279">
        <v>11</v>
      </c>
      <c r="F92" s="279">
        <v>159</v>
      </c>
      <c r="G92" s="279">
        <v>130</v>
      </c>
      <c r="H92" s="279">
        <v>370</v>
      </c>
      <c r="I92" s="279">
        <v>67</v>
      </c>
      <c r="J92" s="279">
        <v>925</v>
      </c>
      <c r="K92" s="279">
        <v>80</v>
      </c>
      <c r="L92" s="279">
        <v>6</v>
      </c>
      <c r="M92" s="279">
        <v>3</v>
      </c>
      <c r="N92" s="279">
        <v>1</v>
      </c>
      <c r="O92" s="279">
        <v>0</v>
      </c>
      <c r="P92" s="279">
        <v>1</v>
      </c>
      <c r="Q92" s="279">
        <v>1</v>
      </c>
      <c r="R92" s="279">
        <v>0</v>
      </c>
      <c r="S92" s="279">
        <v>0</v>
      </c>
      <c r="T92" s="279">
        <v>34</v>
      </c>
      <c r="U92" s="279">
        <v>5</v>
      </c>
      <c r="V92" s="279">
        <v>67</v>
      </c>
      <c r="W92" s="279">
        <v>3</v>
      </c>
    </row>
    <row r="93" spans="1:23" ht="72.75" customHeight="1">
      <c r="A93" s="292" t="s">
        <v>663</v>
      </c>
      <c r="B93" s="230" t="s">
        <v>152</v>
      </c>
      <c r="C93" s="229" t="s">
        <v>153</v>
      </c>
      <c r="D93" s="279">
        <v>55</v>
      </c>
      <c r="E93" s="279">
        <v>27</v>
      </c>
      <c r="F93" s="279">
        <v>151</v>
      </c>
      <c r="G93" s="279">
        <v>293</v>
      </c>
      <c r="H93" s="279">
        <v>327</v>
      </c>
      <c r="I93" s="279">
        <v>99</v>
      </c>
      <c r="J93" s="279">
        <v>1399</v>
      </c>
      <c r="K93" s="279">
        <v>286</v>
      </c>
      <c r="L93" s="279">
        <v>29</v>
      </c>
      <c r="M93" s="279">
        <v>52</v>
      </c>
      <c r="N93" s="279">
        <v>2</v>
      </c>
      <c r="O93" s="279">
        <v>2</v>
      </c>
      <c r="P93" s="279">
        <v>0</v>
      </c>
      <c r="Q93" s="279">
        <v>0</v>
      </c>
      <c r="R93" s="279">
        <v>1</v>
      </c>
      <c r="S93" s="279">
        <v>0</v>
      </c>
      <c r="T93" s="279">
        <v>112</v>
      </c>
      <c r="U93" s="279">
        <v>72</v>
      </c>
      <c r="V93" s="279">
        <v>97</v>
      </c>
      <c r="W93" s="279">
        <v>4</v>
      </c>
    </row>
    <row r="94" spans="1:23" ht="72.75" customHeight="1">
      <c r="A94" s="292" t="s">
        <v>663</v>
      </c>
      <c r="B94" s="230" t="s">
        <v>154</v>
      </c>
      <c r="C94" s="229" t="s">
        <v>155</v>
      </c>
      <c r="D94" s="279">
        <v>65</v>
      </c>
      <c r="E94" s="279">
        <v>38</v>
      </c>
      <c r="F94" s="279">
        <v>416</v>
      </c>
      <c r="G94" s="279">
        <v>207</v>
      </c>
      <c r="H94" s="279">
        <v>242</v>
      </c>
      <c r="I94" s="279">
        <v>135</v>
      </c>
      <c r="J94" s="279">
        <v>1193</v>
      </c>
      <c r="K94" s="279">
        <v>760</v>
      </c>
      <c r="L94" s="279">
        <v>17</v>
      </c>
      <c r="M94" s="279">
        <v>20</v>
      </c>
      <c r="N94" s="279">
        <v>3</v>
      </c>
      <c r="O94" s="279">
        <v>1</v>
      </c>
      <c r="P94" s="279">
        <v>0</v>
      </c>
      <c r="Q94" s="279">
        <v>0</v>
      </c>
      <c r="R94" s="279">
        <v>1</v>
      </c>
      <c r="S94" s="279">
        <v>1</v>
      </c>
      <c r="T94" s="279">
        <v>246</v>
      </c>
      <c r="U94" s="279">
        <v>139</v>
      </c>
      <c r="V94" s="279">
        <v>25</v>
      </c>
      <c r="W94" s="279">
        <v>32</v>
      </c>
    </row>
    <row r="95" spans="1:23" ht="72.75" customHeight="1">
      <c r="A95" s="292" t="s">
        <v>663</v>
      </c>
      <c r="B95" s="230" t="s">
        <v>154</v>
      </c>
      <c r="C95" s="229" t="s">
        <v>156</v>
      </c>
      <c r="D95" s="279">
        <v>81</v>
      </c>
      <c r="E95" s="279">
        <v>66</v>
      </c>
      <c r="F95" s="279">
        <v>430</v>
      </c>
      <c r="G95" s="279">
        <v>381</v>
      </c>
      <c r="H95" s="279">
        <v>217</v>
      </c>
      <c r="I95" s="279">
        <v>177</v>
      </c>
      <c r="J95" s="279">
        <v>753</v>
      </c>
      <c r="K95" s="279">
        <v>669</v>
      </c>
      <c r="L95" s="279">
        <v>22</v>
      </c>
      <c r="M95" s="279">
        <v>27</v>
      </c>
      <c r="N95" s="279">
        <v>1</v>
      </c>
      <c r="O95" s="279">
        <v>2</v>
      </c>
      <c r="P95" s="279">
        <v>0</v>
      </c>
      <c r="Q95" s="279">
        <v>0</v>
      </c>
      <c r="R95" s="279">
        <v>7</v>
      </c>
      <c r="S95" s="279">
        <v>2</v>
      </c>
      <c r="T95" s="279">
        <v>27</v>
      </c>
      <c r="U95" s="279">
        <v>45</v>
      </c>
      <c r="V95" s="279">
        <v>8</v>
      </c>
      <c r="W95" s="279">
        <v>22</v>
      </c>
    </row>
    <row r="96" spans="1:23" ht="72.75" customHeight="1">
      <c r="A96" s="292" t="s">
        <v>663</v>
      </c>
      <c r="B96" s="230" t="s">
        <v>149</v>
      </c>
      <c r="C96" s="229" t="s">
        <v>157</v>
      </c>
      <c r="D96" s="279">
        <v>19</v>
      </c>
      <c r="E96" s="279">
        <v>9</v>
      </c>
      <c r="F96" s="279">
        <v>138</v>
      </c>
      <c r="G96" s="279">
        <v>216</v>
      </c>
      <c r="H96" s="279">
        <v>192</v>
      </c>
      <c r="I96" s="279">
        <v>323</v>
      </c>
      <c r="J96" s="279">
        <v>341</v>
      </c>
      <c r="K96" s="279">
        <v>279</v>
      </c>
      <c r="L96" s="279">
        <v>6</v>
      </c>
      <c r="M96" s="279">
        <v>7</v>
      </c>
      <c r="N96" s="279">
        <v>1</v>
      </c>
      <c r="O96" s="279">
        <v>2</v>
      </c>
      <c r="P96" s="279">
        <v>0</v>
      </c>
      <c r="Q96" s="279">
        <v>0</v>
      </c>
      <c r="R96" s="279">
        <v>0</v>
      </c>
      <c r="S96" s="279">
        <v>0</v>
      </c>
      <c r="T96" s="279">
        <v>37</v>
      </c>
      <c r="U96" s="279">
        <v>36</v>
      </c>
      <c r="V96" s="279">
        <v>5</v>
      </c>
      <c r="W96" s="279">
        <v>8</v>
      </c>
    </row>
    <row r="97" spans="1:23" ht="72.75" customHeight="1">
      <c r="A97" s="292" t="s">
        <v>663</v>
      </c>
      <c r="B97" s="230" t="s">
        <v>149</v>
      </c>
      <c r="C97" s="229" t="s">
        <v>158</v>
      </c>
      <c r="D97" s="279">
        <v>25</v>
      </c>
      <c r="E97" s="279">
        <v>25</v>
      </c>
      <c r="F97" s="279">
        <v>154</v>
      </c>
      <c r="G97" s="279">
        <v>311</v>
      </c>
      <c r="H97" s="279">
        <v>56</v>
      </c>
      <c r="I97" s="279">
        <v>75</v>
      </c>
      <c r="J97" s="279">
        <v>99</v>
      </c>
      <c r="K97" s="279">
        <v>88</v>
      </c>
      <c r="L97" s="279">
        <v>8</v>
      </c>
      <c r="M97" s="279">
        <v>12</v>
      </c>
      <c r="N97" s="279">
        <v>13</v>
      </c>
      <c r="O97" s="279">
        <v>4</v>
      </c>
      <c r="P97" s="279"/>
      <c r="Q97" s="279"/>
      <c r="R97" s="279">
        <v>33</v>
      </c>
      <c r="S97" s="279">
        <v>62</v>
      </c>
      <c r="T97" s="279">
        <v>22</v>
      </c>
      <c r="U97" s="279">
        <v>42</v>
      </c>
      <c r="V97" s="279">
        <v>11</v>
      </c>
      <c r="W97" s="279">
        <v>20</v>
      </c>
    </row>
    <row r="98" spans="1:23" ht="72.75" customHeight="1">
      <c r="A98" s="292" t="s">
        <v>663</v>
      </c>
      <c r="B98" s="230" t="s">
        <v>144</v>
      </c>
      <c r="C98" s="229" t="s">
        <v>159</v>
      </c>
      <c r="D98" s="279">
        <v>5</v>
      </c>
      <c r="E98" s="279">
        <v>15</v>
      </c>
      <c r="F98" s="279">
        <v>25</v>
      </c>
      <c r="G98" s="279">
        <v>98</v>
      </c>
      <c r="H98" s="279">
        <v>42</v>
      </c>
      <c r="I98" s="279">
        <v>136</v>
      </c>
      <c r="J98" s="279">
        <v>25</v>
      </c>
      <c r="K98" s="279">
        <v>65</v>
      </c>
      <c r="L98" s="279">
        <v>2</v>
      </c>
      <c r="M98" s="279">
        <v>18</v>
      </c>
      <c r="N98" s="279">
        <v>0</v>
      </c>
      <c r="O98" s="279">
        <v>4</v>
      </c>
      <c r="P98" s="279">
        <v>0</v>
      </c>
      <c r="Q98" s="279">
        <v>0</v>
      </c>
      <c r="R98" s="279">
        <v>0</v>
      </c>
      <c r="S98" s="279">
        <v>2</v>
      </c>
      <c r="T98" s="279">
        <v>5</v>
      </c>
      <c r="U98" s="279">
        <v>50</v>
      </c>
      <c r="V98" s="279">
        <v>5</v>
      </c>
      <c r="W98" s="279">
        <v>7</v>
      </c>
    </row>
    <row r="99" spans="1:23" ht="72.75" customHeight="1">
      <c r="A99" s="251" t="s">
        <v>536</v>
      </c>
      <c r="B99" s="195" t="s">
        <v>537</v>
      </c>
      <c r="C99" s="251" t="s">
        <v>38</v>
      </c>
      <c r="D99" s="136">
        <v>143</v>
      </c>
      <c r="E99" s="136">
        <v>114</v>
      </c>
      <c r="F99" s="136">
        <v>548</v>
      </c>
      <c r="G99" s="136">
        <v>429</v>
      </c>
      <c r="H99" s="136">
        <v>246</v>
      </c>
      <c r="I99" s="136">
        <v>111</v>
      </c>
      <c r="J99" s="136">
        <v>898</v>
      </c>
      <c r="K99" s="136">
        <v>781</v>
      </c>
      <c r="L99" s="136">
        <v>35</v>
      </c>
      <c r="M99" s="136">
        <v>11</v>
      </c>
      <c r="N99" s="136">
        <v>7</v>
      </c>
      <c r="O99" s="136">
        <v>3</v>
      </c>
      <c r="P99" s="136">
        <v>1</v>
      </c>
      <c r="Q99" s="136">
        <v>0</v>
      </c>
      <c r="R99" s="136">
        <v>2</v>
      </c>
      <c r="S99" s="136">
        <v>4</v>
      </c>
      <c r="T99" s="136">
        <v>61</v>
      </c>
      <c r="U99" s="136">
        <v>67</v>
      </c>
      <c r="V99" s="136">
        <v>36</v>
      </c>
      <c r="W99" s="136">
        <v>26</v>
      </c>
    </row>
    <row r="100" spans="1:23" ht="72.75" customHeight="1">
      <c r="A100" s="251" t="s">
        <v>536</v>
      </c>
      <c r="B100" s="195" t="s">
        <v>537</v>
      </c>
      <c r="C100" s="251" t="s">
        <v>538</v>
      </c>
      <c r="D100" s="136">
        <v>140</v>
      </c>
      <c r="E100" s="136">
        <v>116</v>
      </c>
      <c r="F100" s="136">
        <v>591</v>
      </c>
      <c r="G100" s="136">
        <v>485</v>
      </c>
      <c r="H100" s="136">
        <v>99</v>
      </c>
      <c r="I100" s="136">
        <v>83</v>
      </c>
      <c r="J100" s="136">
        <v>1311</v>
      </c>
      <c r="K100" s="136">
        <v>972</v>
      </c>
      <c r="L100" s="136">
        <v>20</v>
      </c>
      <c r="M100" s="136">
        <v>14</v>
      </c>
      <c r="N100" s="136">
        <v>9</v>
      </c>
      <c r="O100" s="136">
        <v>6</v>
      </c>
      <c r="P100" s="136">
        <v>0</v>
      </c>
      <c r="Q100" s="136">
        <v>1</v>
      </c>
      <c r="R100" s="136">
        <v>7</v>
      </c>
      <c r="S100" s="136">
        <v>12</v>
      </c>
      <c r="T100" s="136">
        <v>23</v>
      </c>
      <c r="U100" s="136">
        <v>28</v>
      </c>
      <c r="V100" s="136">
        <v>49</v>
      </c>
      <c r="W100" s="136">
        <v>28</v>
      </c>
    </row>
    <row r="101" spans="1:23" ht="72.75" customHeight="1">
      <c r="A101" s="197" t="s">
        <v>519</v>
      </c>
      <c r="B101" s="195" t="s">
        <v>456</v>
      </c>
      <c r="C101" s="251" t="s">
        <v>269</v>
      </c>
      <c r="D101" s="136">
        <v>7</v>
      </c>
      <c r="E101" s="136">
        <v>152</v>
      </c>
      <c r="F101" s="136">
        <v>15</v>
      </c>
      <c r="G101" s="136">
        <v>496</v>
      </c>
      <c r="H101" s="136">
        <v>1</v>
      </c>
      <c r="I101" s="136">
        <v>16</v>
      </c>
      <c r="J101" s="136">
        <v>5</v>
      </c>
      <c r="K101" s="136">
        <v>54</v>
      </c>
      <c r="L101" s="136">
        <v>1</v>
      </c>
      <c r="M101" s="136">
        <v>77</v>
      </c>
      <c r="N101" s="136">
        <v>0</v>
      </c>
      <c r="O101" s="136">
        <v>1</v>
      </c>
      <c r="P101" s="136">
        <v>0</v>
      </c>
      <c r="Q101" s="136">
        <v>0</v>
      </c>
      <c r="R101" s="136">
        <v>1</v>
      </c>
      <c r="S101" s="136">
        <v>29</v>
      </c>
      <c r="T101" s="136">
        <v>3</v>
      </c>
      <c r="U101" s="136">
        <v>80</v>
      </c>
      <c r="V101" s="136">
        <v>0</v>
      </c>
      <c r="W101" s="136">
        <v>9</v>
      </c>
    </row>
    <row r="102" spans="1:23" ht="72.75" customHeight="1">
      <c r="A102" s="197" t="s">
        <v>519</v>
      </c>
      <c r="B102" s="195" t="s">
        <v>308</v>
      </c>
      <c r="C102" s="195" t="s">
        <v>930</v>
      </c>
      <c r="D102" s="136">
        <v>26</v>
      </c>
      <c r="E102" s="136">
        <v>57</v>
      </c>
      <c r="F102" s="136">
        <v>151</v>
      </c>
      <c r="G102" s="136">
        <v>302</v>
      </c>
      <c r="H102" s="136">
        <v>25</v>
      </c>
      <c r="I102" s="136">
        <v>45</v>
      </c>
      <c r="J102" s="136">
        <v>121</v>
      </c>
      <c r="K102" s="136">
        <v>321</v>
      </c>
      <c r="L102" s="136">
        <v>10</v>
      </c>
      <c r="M102" s="136">
        <v>14</v>
      </c>
      <c r="N102" s="136">
        <v>1</v>
      </c>
      <c r="O102" s="136">
        <v>5</v>
      </c>
      <c r="P102" s="136">
        <v>0</v>
      </c>
      <c r="Q102" s="136">
        <v>0</v>
      </c>
      <c r="R102" s="136">
        <v>0</v>
      </c>
      <c r="S102" s="136">
        <v>2</v>
      </c>
      <c r="T102" s="136">
        <v>9</v>
      </c>
      <c r="U102" s="136">
        <v>26</v>
      </c>
      <c r="V102" s="136">
        <v>8</v>
      </c>
      <c r="W102" s="136">
        <v>33</v>
      </c>
    </row>
    <row r="103" spans="1:23" ht="72.75" customHeight="1">
      <c r="A103" s="197" t="s">
        <v>519</v>
      </c>
      <c r="B103" s="195" t="s">
        <v>144</v>
      </c>
      <c r="C103" s="251" t="s">
        <v>285</v>
      </c>
      <c r="D103" s="136">
        <v>47</v>
      </c>
      <c r="E103" s="136">
        <v>168</v>
      </c>
      <c r="F103" s="136">
        <v>188</v>
      </c>
      <c r="G103" s="136">
        <v>622</v>
      </c>
      <c r="H103" s="136">
        <v>181</v>
      </c>
      <c r="I103" s="136">
        <v>371</v>
      </c>
      <c r="J103" s="136">
        <v>190</v>
      </c>
      <c r="K103" s="136">
        <v>360</v>
      </c>
      <c r="L103" s="136">
        <v>11</v>
      </c>
      <c r="M103" s="136">
        <v>25</v>
      </c>
      <c r="N103" s="136">
        <v>1</v>
      </c>
      <c r="O103" s="136">
        <v>2</v>
      </c>
      <c r="P103" s="136">
        <v>0</v>
      </c>
      <c r="Q103" s="136">
        <v>0</v>
      </c>
      <c r="R103" s="136">
        <v>6</v>
      </c>
      <c r="S103" s="136">
        <v>65</v>
      </c>
      <c r="T103" s="136">
        <v>34</v>
      </c>
      <c r="U103" s="136">
        <v>138</v>
      </c>
      <c r="V103" s="136">
        <v>6</v>
      </c>
      <c r="W103" s="136">
        <v>11</v>
      </c>
    </row>
    <row r="104" spans="1:23" ht="72.75" customHeight="1">
      <c r="A104" s="197" t="s">
        <v>519</v>
      </c>
      <c r="B104" s="195" t="s">
        <v>521</v>
      </c>
      <c r="C104" s="251" t="s">
        <v>58</v>
      </c>
      <c r="D104" s="136">
        <v>105</v>
      </c>
      <c r="E104" s="136">
        <v>146</v>
      </c>
      <c r="F104" s="136">
        <v>447</v>
      </c>
      <c r="G104" s="136">
        <v>565</v>
      </c>
      <c r="H104" s="136">
        <v>48</v>
      </c>
      <c r="I104" s="136">
        <v>34</v>
      </c>
      <c r="J104" s="136">
        <v>12</v>
      </c>
      <c r="K104" s="136">
        <v>7</v>
      </c>
      <c r="L104" s="136">
        <v>11</v>
      </c>
      <c r="M104" s="136">
        <v>22</v>
      </c>
      <c r="N104" s="136">
        <v>3</v>
      </c>
      <c r="O104" s="136">
        <v>4</v>
      </c>
      <c r="P104" s="136">
        <v>1</v>
      </c>
      <c r="Q104" s="136">
        <v>1</v>
      </c>
      <c r="R104" s="136">
        <v>0</v>
      </c>
      <c r="S104" s="136">
        <v>0</v>
      </c>
      <c r="T104" s="136">
        <v>52</v>
      </c>
      <c r="U104" s="136">
        <v>62</v>
      </c>
      <c r="V104" s="136">
        <v>66</v>
      </c>
      <c r="W104" s="136">
        <v>34</v>
      </c>
    </row>
    <row r="105" spans="1:23" ht="72.75" customHeight="1">
      <c r="A105" s="197" t="s">
        <v>519</v>
      </c>
      <c r="B105" s="195" t="s">
        <v>522</v>
      </c>
      <c r="C105" s="251" t="s">
        <v>523</v>
      </c>
      <c r="D105" s="278">
        <v>10</v>
      </c>
      <c r="E105" s="278">
        <v>55</v>
      </c>
      <c r="F105" s="278">
        <v>93</v>
      </c>
      <c r="G105" s="278">
        <v>312</v>
      </c>
      <c r="H105" s="278">
        <v>37</v>
      </c>
      <c r="I105" s="278">
        <v>158</v>
      </c>
      <c r="J105" s="278">
        <v>132</v>
      </c>
      <c r="K105" s="278">
        <v>622</v>
      </c>
      <c r="L105" s="278">
        <v>11</v>
      </c>
      <c r="M105" s="278">
        <v>23</v>
      </c>
      <c r="N105" s="278">
        <v>2</v>
      </c>
      <c r="O105" s="278">
        <v>15</v>
      </c>
      <c r="P105" s="278">
        <v>1</v>
      </c>
      <c r="Q105" s="278">
        <v>1</v>
      </c>
      <c r="R105" s="278">
        <v>0</v>
      </c>
      <c r="S105" s="278">
        <v>0</v>
      </c>
      <c r="T105" s="278">
        <v>0</v>
      </c>
      <c r="U105" s="278">
        <v>14</v>
      </c>
      <c r="V105" s="278">
        <v>2</v>
      </c>
      <c r="W105" s="278">
        <v>32</v>
      </c>
    </row>
    <row r="106" spans="1:23" ht="72.75" customHeight="1">
      <c r="A106" s="197" t="s">
        <v>519</v>
      </c>
      <c r="B106" s="195" t="s">
        <v>524</v>
      </c>
      <c r="C106" s="251" t="s">
        <v>525</v>
      </c>
      <c r="D106" s="136">
        <v>117</v>
      </c>
      <c r="E106" s="136">
        <v>78</v>
      </c>
      <c r="F106" s="136">
        <v>424</v>
      </c>
      <c r="G106" s="136">
        <v>233</v>
      </c>
      <c r="H106" s="136">
        <v>20</v>
      </c>
      <c r="I106" s="136">
        <v>16</v>
      </c>
      <c r="J106" s="136">
        <v>0</v>
      </c>
      <c r="K106" s="136">
        <v>0</v>
      </c>
      <c r="L106" s="136">
        <v>25</v>
      </c>
      <c r="M106" s="136">
        <v>19</v>
      </c>
      <c r="N106" s="136">
        <v>17</v>
      </c>
      <c r="O106" s="136">
        <v>2</v>
      </c>
      <c r="P106" s="136">
        <v>0</v>
      </c>
      <c r="Q106" s="136">
        <v>0</v>
      </c>
      <c r="R106" s="136">
        <v>2</v>
      </c>
      <c r="S106" s="136">
        <v>1</v>
      </c>
      <c r="T106" s="136">
        <v>5</v>
      </c>
      <c r="U106" s="136">
        <v>7</v>
      </c>
      <c r="V106" s="136">
        <v>0</v>
      </c>
      <c r="W106" s="136">
        <v>0</v>
      </c>
    </row>
    <row r="107" spans="1:23" ht="72.75" customHeight="1">
      <c r="A107" s="197" t="s">
        <v>519</v>
      </c>
      <c r="B107" s="195" t="s">
        <v>524</v>
      </c>
      <c r="C107" s="251" t="s">
        <v>526</v>
      </c>
      <c r="D107" s="136">
        <v>105</v>
      </c>
      <c r="E107" s="136">
        <v>176</v>
      </c>
      <c r="F107" s="136">
        <v>658</v>
      </c>
      <c r="G107" s="136">
        <v>731</v>
      </c>
      <c r="H107" s="136">
        <v>3</v>
      </c>
      <c r="I107" s="136">
        <v>4</v>
      </c>
      <c r="J107" s="136">
        <v>4</v>
      </c>
      <c r="K107" s="136">
        <v>1</v>
      </c>
      <c r="L107" s="136">
        <v>15</v>
      </c>
      <c r="M107" s="136">
        <v>12</v>
      </c>
      <c r="N107" s="136">
        <v>0</v>
      </c>
      <c r="O107" s="136">
        <v>0</v>
      </c>
      <c r="P107" s="136">
        <v>0</v>
      </c>
      <c r="Q107" s="136">
        <v>0</v>
      </c>
      <c r="R107" s="136">
        <v>2</v>
      </c>
      <c r="S107" s="136">
        <v>0</v>
      </c>
      <c r="T107" s="136">
        <v>45</v>
      </c>
      <c r="U107" s="136">
        <v>39</v>
      </c>
      <c r="V107" s="136">
        <v>40</v>
      </c>
      <c r="W107" s="136">
        <v>37</v>
      </c>
    </row>
    <row r="108" spans="1:23" ht="72.75" customHeight="1">
      <c r="A108" s="197" t="s">
        <v>519</v>
      </c>
      <c r="B108" s="195" t="s">
        <v>518</v>
      </c>
      <c r="C108" s="251" t="s">
        <v>246</v>
      </c>
      <c r="D108" s="136">
        <v>40</v>
      </c>
      <c r="E108" s="136">
        <v>99</v>
      </c>
      <c r="F108" s="136">
        <v>177</v>
      </c>
      <c r="G108" s="136">
        <v>403</v>
      </c>
      <c r="H108" s="136">
        <v>102</v>
      </c>
      <c r="I108" s="136">
        <v>165</v>
      </c>
      <c r="J108" s="136">
        <v>289</v>
      </c>
      <c r="K108" s="136">
        <v>399</v>
      </c>
      <c r="L108" s="136">
        <v>8</v>
      </c>
      <c r="M108" s="136">
        <v>18</v>
      </c>
      <c r="N108" s="136">
        <v>4</v>
      </c>
      <c r="O108" s="136">
        <v>8</v>
      </c>
      <c r="P108" s="136">
        <v>0</v>
      </c>
      <c r="Q108" s="136">
        <v>0</v>
      </c>
      <c r="R108" s="136">
        <v>2</v>
      </c>
      <c r="S108" s="136">
        <v>0</v>
      </c>
      <c r="T108" s="136">
        <v>8</v>
      </c>
      <c r="U108" s="136">
        <v>17</v>
      </c>
      <c r="V108" s="136">
        <v>15</v>
      </c>
      <c r="W108" s="136">
        <v>25</v>
      </c>
    </row>
    <row r="109" spans="1:23" ht="72.75" customHeight="1">
      <c r="A109" s="197" t="s">
        <v>519</v>
      </c>
      <c r="B109" s="195" t="s">
        <v>144</v>
      </c>
      <c r="C109" s="251" t="s">
        <v>527</v>
      </c>
      <c r="D109" s="136">
        <v>24</v>
      </c>
      <c r="E109" s="136">
        <v>106</v>
      </c>
      <c r="F109" s="136">
        <v>101</v>
      </c>
      <c r="G109" s="136">
        <v>464</v>
      </c>
      <c r="H109" s="136">
        <v>45</v>
      </c>
      <c r="I109" s="136">
        <v>158</v>
      </c>
      <c r="J109" s="136">
        <v>96</v>
      </c>
      <c r="K109" s="136">
        <v>324</v>
      </c>
      <c r="L109" s="136">
        <v>8</v>
      </c>
      <c r="M109" s="136">
        <v>13</v>
      </c>
      <c r="N109" s="136">
        <v>2</v>
      </c>
      <c r="O109" s="136">
        <v>4</v>
      </c>
      <c r="P109" s="136">
        <v>0</v>
      </c>
      <c r="Q109" s="136">
        <v>0</v>
      </c>
      <c r="R109" s="136">
        <v>1</v>
      </c>
      <c r="S109" s="136">
        <v>0</v>
      </c>
      <c r="T109" s="136">
        <v>7</v>
      </c>
      <c r="U109" s="136">
        <v>42</v>
      </c>
      <c r="V109" s="136">
        <v>12</v>
      </c>
      <c r="W109" s="136">
        <v>57</v>
      </c>
    </row>
    <row r="110" spans="1:23" ht="72.75" customHeight="1">
      <c r="A110" s="195" t="s">
        <v>519</v>
      </c>
      <c r="B110" s="195" t="s">
        <v>522</v>
      </c>
      <c r="C110" s="251" t="s">
        <v>279</v>
      </c>
      <c r="D110" s="136">
        <v>34</v>
      </c>
      <c r="E110" s="136">
        <v>90</v>
      </c>
      <c r="F110" s="136">
        <v>86</v>
      </c>
      <c r="G110" s="136">
        <v>247</v>
      </c>
      <c r="H110" s="136">
        <v>44</v>
      </c>
      <c r="I110" s="136">
        <v>6</v>
      </c>
      <c r="J110" s="136">
        <v>26</v>
      </c>
      <c r="K110" s="136">
        <v>87</v>
      </c>
      <c r="L110" s="136">
        <v>6</v>
      </c>
      <c r="M110" s="136">
        <v>34</v>
      </c>
      <c r="N110" s="136">
        <v>2</v>
      </c>
      <c r="O110" s="136">
        <v>0</v>
      </c>
      <c r="P110" s="136">
        <v>0</v>
      </c>
      <c r="Q110" s="136">
        <v>0</v>
      </c>
      <c r="R110" s="136">
        <v>0</v>
      </c>
      <c r="S110" s="136">
        <v>0</v>
      </c>
      <c r="T110" s="136">
        <v>31</v>
      </c>
      <c r="U110" s="136">
        <v>148</v>
      </c>
      <c r="V110" s="136">
        <v>13</v>
      </c>
      <c r="W110" s="136">
        <v>55</v>
      </c>
    </row>
    <row r="111" spans="1:23" ht="72.75" customHeight="1">
      <c r="A111" s="195" t="s">
        <v>519</v>
      </c>
      <c r="B111" s="195" t="s">
        <v>524</v>
      </c>
      <c r="C111" s="251" t="s">
        <v>528</v>
      </c>
      <c r="D111" s="136">
        <v>84</v>
      </c>
      <c r="E111" s="136">
        <v>64</v>
      </c>
      <c r="F111" s="136">
        <v>374</v>
      </c>
      <c r="G111" s="136">
        <v>249</v>
      </c>
      <c r="H111" s="136">
        <v>56</v>
      </c>
      <c r="I111" s="136">
        <v>90</v>
      </c>
      <c r="J111" s="136">
        <v>528</v>
      </c>
      <c r="K111" s="136">
        <v>389</v>
      </c>
      <c r="L111" s="136">
        <v>16</v>
      </c>
      <c r="M111" s="136">
        <v>3</v>
      </c>
      <c r="N111" s="136">
        <v>1</v>
      </c>
      <c r="O111" s="136">
        <v>4</v>
      </c>
      <c r="P111" s="136">
        <v>0</v>
      </c>
      <c r="Q111" s="136">
        <v>0</v>
      </c>
      <c r="R111" s="136">
        <v>0</v>
      </c>
      <c r="S111" s="136">
        <v>0</v>
      </c>
      <c r="T111" s="136">
        <v>85</v>
      </c>
      <c r="U111" s="136">
        <v>69</v>
      </c>
      <c r="V111" s="136">
        <v>42</v>
      </c>
      <c r="W111" s="136">
        <v>54</v>
      </c>
    </row>
    <row r="112" spans="1:23" ht="72.75" customHeight="1">
      <c r="A112" s="197" t="s">
        <v>519</v>
      </c>
      <c r="B112" s="195" t="s">
        <v>144</v>
      </c>
      <c r="C112" s="251" t="s">
        <v>287</v>
      </c>
      <c r="D112" s="136">
        <v>2</v>
      </c>
      <c r="E112" s="136">
        <v>108</v>
      </c>
      <c r="F112" s="136">
        <v>0</v>
      </c>
      <c r="G112" s="136">
        <v>92</v>
      </c>
      <c r="H112" s="136">
        <v>0</v>
      </c>
      <c r="I112" s="136">
        <v>113</v>
      </c>
      <c r="J112" s="136">
        <v>0</v>
      </c>
      <c r="K112" s="136">
        <v>157</v>
      </c>
      <c r="L112" s="136">
        <v>2</v>
      </c>
      <c r="M112" s="136">
        <v>48</v>
      </c>
      <c r="N112" s="136">
        <v>0</v>
      </c>
      <c r="O112" s="136">
        <v>2</v>
      </c>
      <c r="P112" s="136">
        <v>0</v>
      </c>
      <c r="Q112" s="136">
        <v>1</v>
      </c>
      <c r="R112" s="136">
        <v>0</v>
      </c>
      <c r="S112" s="136">
        <v>0</v>
      </c>
      <c r="T112" s="136">
        <v>1</v>
      </c>
      <c r="U112" s="136">
        <v>123</v>
      </c>
      <c r="V112" s="136">
        <v>2</v>
      </c>
      <c r="W112" s="136">
        <v>108</v>
      </c>
    </row>
    <row r="113" spans="1:23" ht="72.75" customHeight="1">
      <c r="A113" s="197" t="s">
        <v>519</v>
      </c>
      <c r="B113" s="195" t="s">
        <v>270</v>
      </c>
      <c r="C113" s="251" t="s">
        <v>529</v>
      </c>
      <c r="D113" s="136">
        <v>115</v>
      </c>
      <c r="E113" s="136">
        <v>24</v>
      </c>
      <c r="F113" s="136">
        <v>465</v>
      </c>
      <c r="G113" s="136">
        <v>98</v>
      </c>
      <c r="H113" s="136">
        <v>415</v>
      </c>
      <c r="I113" s="136">
        <v>25</v>
      </c>
      <c r="J113" s="136">
        <v>1081</v>
      </c>
      <c r="K113" s="136">
        <v>78</v>
      </c>
      <c r="L113" s="136">
        <v>42</v>
      </c>
      <c r="M113" s="136">
        <v>9</v>
      </c>
      <c r="N113" s="136">
        <v>13</v>
      </c>
      <c r="O113" s="136">
        <v>0</v>
      </c>
      <c r="P113" s="136">
        <v>3</v>
      </c>
      <c r="Q113" s="136">
        <v>1</v>
      </c>
      <c r="R113" s="136">
        <v>0</v>
      </c>
      <c r="S113" s="136">
        <v>0</v>
      </c>
      <c r="T113" s="136">
        <v>45</v>
      </c>
      <c r="U113" s="136">
        <v>3</v>
      </c>
      <c r="V113" s="136">
        <v>65</v>
      </c>
      <c r="W113" s="136">
        <v>12</v>
      </c>
    </row>
    <row r="114" spans="1:23" ht="72.75" customHeight="1">
      <c r="A114" s="197" t="s">
        <v>519</v>
      </c>
      <c r="B114" s="195" t="s">
        <v>270</v>
      </c>
      <c r="C114" s="251" t="s">
        <v>530</v>
      </c>
      <c r="D114" s="136">
        <v>29</v>
      </c>
      <c r="E114" s="136">
        <v>30</v>
      </c>
      <c r="F114" s="136">
        <v>159</v>
      </c>
      <c r="G114" s="136">
        <v>132</v>
      </c>
      <c r="H114" s="136">
        <v>49</v>
      </c>
      <c r="I114" s="136">
        <v>44</v>
      </c>
      <c r="J114" s="136">
        <v>243</v>
      </c>
      <c r="K114" s="136">
        <v>161</v>
      </c>
      <c r="L114" s="136">
        <v>6</v>
      </c>
      <c r="M114" s="136">
        <v>6</v>
      </c>
      <c r="N114" s="136">
        <v>0</v>
      </c>
      <c r="O114" s="136">
        <v>2</v>
      </c>
      <c r="P114" s="136">
        <v>0</v>
      </c>
      <c r="Q114" s="136">
        <v>0</v>
      </c>
      <c r="R114" s="136">
        <v>0</v>
      </c>
      <c r="S114" s="136">
        <v>0</v>
      </c>
      <c r="T114" s="136">
        <v>11</v>
      </c>
      <c r="U114" s="136">
        <v>20</v>
      </c>
      <c r="V114" s="136">
        <v>22</v>
      </c>
      <c r="W114" s="136">
        <v>11</v>
      </c>
    </row>
    <row r="115" spans="1:23" ht="72.75" customHeight="1">
      <c r="A115" s="197" t="s">
        <v>519</v>
      </c>
      <c r="B115" s="195" t="s">
        <v>270</v>
      </c>
      <c r="C115" s="195" t="s">
        <v>531</v>
      </c>
      <c r="D115" s="136">
        <v>198</v>
      </c>
      <c r="E115" s="136">
        <v>32</v>
      </c>
      <c r="F115" s="136">
        <v>722</v>
      </c>
      <c r="G115" s="136">
        <v>102</v>
      </c>
      <c r="H115" s="136">
        <v>1187</v>
      </c>
      <c r="I115" s="136">
        <v>155</v>
      </c>
      <c r="J115" s="136">
        <v>1047</v>
      </c>
      <c r="K115" s="136">
        <v>139</v>
      </c>
      <c r="L115" s="136">
        <v>94</v>
      </c>
      <c r="M115" s="136">
        <v>7</v>
      </c>
      <c r="N115" s="136">
        <v>24</v>
      </c>
      <c r="O115" s="136">
        <v>4</v>
      </c>
      <c r="P115" s="136">
        <v>4</v>
      </c>
      <c r="Q115" s="136">
        <v>0</v>
      </c>
      <c r="R115" s="136">
        <v>3</v>
      </c>
      <c r="S115" s="136">
        <v>1</v>
      </c>
      <c r="T115" s="136">
        <v>72</v>
      </c>
      <c r="U115" s="136">
        <v>18</v>
      </c>
      <c r="V115" s="136">
        <v>41</v>
      </c>
      <c r="W115" s="136">
        <v>10</v>
      </c>
    </row>
    <row r="116" spans="1:23" ht="72.75" customHeight="1">
      <c r="A116" s="197" t="s">
        <v>519</v>
      </c>
      <c r="B116" s="195" t="s">
        <v>270</v>
      </c>
      <c r="C116" s="195" t="s">
        <v>929</v>
      </c>
      <c r="D116" s="136">
        <v>146</v>
      </c>
      <c r="E116" s="136">
        <v>20</v>
      </c>
      <c r="F116" s="136">
        <v>290</v>
      </c>
      <c r="G116" s="136">
        <v>59</v>
      </c>
      <c r="H116" s="136">
        <v>188</v>
      </c>
      <c r="I116" s="136">
        <v>30</v>
      </c>
      <c r="J116" s="136">
        <v>936</v>
      </c>
      <c r="K116" s="136">
        <v>259</v>
      </c>
      <c r="L116" s="136">
        <v>88</v>
      </c>
      <c r="M116" s="136">
        <v>7</v>
      </c>
      <c r="N116" s="136">
        <v>7</v>
      </c>
      <c r="O116" s="136">
        <v>0</v>
      </c>
      <c r="P116" s="136">
        <v>0</v>
      </c>
      <c r="Q116" s="136">
        <v>1</v>
      </c>
      <c r="R116" s="136">
        <v>0</v>
      </c>
      <c r="S116" s="136">
        <v>0</v>
      </c>
      <c r="T116" s="136">
        <v>6</v>
      </c>
      <c r="U116" s="136">
        <v>2</v>
      </c>
      <c r="V116" s="136">
        <v>33</v>
      </c>
      <c r="W116" s="136">
        <v>8</v>
      </c>
    </row>
    <row r="117" spans="1:23" ht="72.75" customHeight="1">
      <c r="A117" s="197" t="s">
        <v>519</v>
      </c>
      <c r="B117" s="195" t="s">
        <v>533</v>
      </c>
      <c r="C117" s="251" t="s">
        <v>534</v>
      </c>
      <c r="D117" s="136">
        <v>8</v>
      </c>
      <c r="E117" s="136">
        <v>5</v>
      </c>
      <c r="F117" s="136">
        <v>170</v>
      </c>
      <c r="G117" s="136">
        <v>118</v>
      </c>
      <c r="H117" s="136">
        <v>171</v>
      </c>
      <c r="I117" s="136">
        <v>118</v>
      </c>
      <c r="J117" s="136">
        <v>713</v>
      </c>
      <c r="K117" s="136">
        <v>389</v>
      </c>
      <c r="L117" s="136">
        <v>5</v>
      </c>
      <c r="M117" s="136">
        <v>2</v>
      </c>
      <c r="N117" s="136">
        <v>0</v>
      </c>
      <c r="O117" s="136">
        <v>1</v>
      </c>
      <c r="P117" s="136">
        <v>1</v>
      </c>
      <c r="Q117" s="136">
        <v>0</v>
      </c>
      <c r="R117" s="136">
        <v>0</v>
      </c>
      <c r="S117" s="136">
        <v>0</v>
      </c>
      <c r="T117" s="136">
        <v>1</v>
      </c>
      <c r="U117" s="136">
        <v>7</v>
      </c>
      <c r="V117" s="136">
        <v>15</v>
      </c>
      <c r="W117" s="136">
        <v>16</v>
      </c>
    </row>
    <row r="118" spans="1:23" ht="72.75" customHeight="1">
      <c r="A118" s="197" t="s">
        <v>519</v>
      </c>
      <c r="B118" s="195" t="s">
        <v>533</v>
      </c>
      <c r="C118" s="251" t="s">
        <v>535</v>
      </c>
      <c r="D118" s="136">
        <v>94</v>
      </c>
      <c r="E118" s="136">
        <v>12</v>
      </c>
      <c r="F118" s="136">
        <v>356</v>
      </c>
      <c r="G118" s="136">
        <v>52</v>
      </c>
      <c r="H118" s="136">
        <v>238</v>
      </c>
      <c r="I118" s="136">
        <v>24</v>
      </c>
      <c r="J118" s="136">
        <v>870</v>
      </c>
      <c r="K118" s="136">
        <v>0</v>
      </c>
      <c r="L118" s="136">
        <v>24</v>
      </c>
      <c r="M118" s="136">
        <v>5</v>
      </c>
      <c r="N118" s="136">
        <v>12</v>
      </c>
      <c r="O118" s="136">
        <v>0</v>
      </c>
      <c r="P118" s="136">
        <v>1</v>
      </c>
      <c r="Q118" s="136">
        <v>0</v>
      </c>
      <c r="R118" s="136">
        <v>0</v>
      </c>
      <c r="S118" s="136">
        <v>0</v>
      </c>
      <c r="T118" s="136">
        <v>24</v>
      </c>
      <c r="U118" s="136">
        <v>6</v>
      </c>
      <c r="V118" s="136">
        <v>41</v>
      </c>
      <c r="W118" s="136">
        <v>1</v>
      </c>
    </row>
    <row r="119" spans="1:23" ht="72.75" customHeight="1">
      <c r="A119" s="197" t="s">
        <v>519</v>
      </c>
      <c r="B119" s="195" t="s">
        <v>144</v>
      </c>
      <c r="C119" s="251" t="s">
        <v>288</v>
      </c>
      <c r="D119" s="136">
        <v>41</v>
      </c>
      <c r="E119" s="136">
        <v>117</v>
      </c>
      <c r="F119" s="136">
        <v>130</v>
      </c>
      <c r="G119" s="136">
        <v>417</v>
      </c>
      <c r="H119" s="136">
        <v>18</v>
      </c>
      <c r="I119" s="136">
        <v>59</v>
      </c>
      <c r="J119" s="136">
        <v>83</v>
      </c>
      <c r="K119" s="136">
        <v>211</v>
      </c>
      <c r="L119" s="136">
        <v>8</v>
      </c>
      <c r="M119" s="136">
        <v>33</v>
      </c>
      <c r="N119" s="136">
        <v>4</v>
      </c>
      <c r="O119" s="136">
        <v>12</v>
      </c>
      <c r="P119" s="136">
        <v>0</v>
      </c>
      <c r="Q119" s="136">
        <v>0</v>
      </c>
      <c r="R119" s="136">
        <v>9</v>
      </c>
      <c r="S119" s="136">
        <v>36</v>
      </c>
      <c r="T119" s="136">
        <v>13</v>
      </c>
      <c r="U119" s="136">
        <v>83</v>
      </c>
      <c r="V119" s="136">
        <v>8</v>
      </c>
      <c r="W119" s="136">
        <v>26</v>
      </c>
    </row>
    <row r="120" spans="1:23" ht="72.75" customHeight="1">
      <c r="A120" s="251" t="s">
        <v>519</v>
      </c>
      <c r="B120" s="195" t="s">
        <v>533</v>
      </c>
      <c r="C120" s="251" t="s">
        <v>55</v>
      </c>
      <c r="D120" s="136">
        <v>24</v>
      </c>
      <c r="E120" s="136">
        <v>17</v>
      </c>
      <c r="F120" s="136">
        <v>123</v>
      </c>
      <c r="G120" s="136">
        <v>78</v>
      </c>
      <c r="H120" s="136">
        <v>68</v>
      </c>
      <c r="I120" s="136">
        <v>67</v>
      </c>
      <c r="J120" s="136">
        <v>689</v>
      </c>
      <c r="K120" s="136">
        <v>386</v>
      </c>
      <c r="L120" s="136">
        <v>10</v>
      </c>
      <c r="M120" s="136">
        <v>11</v>
      </c>
      <c r="N120" s="136">
        <v>6</v>
      </c>
      <c r="O120" s="136">
        <v>2</v>
      </c>
      <c r="P120" s="136">
        <v>1</v>
      </c>
      <c r="Q120" s="136">
        <v>0</v>
      </c>
      <c r="R120" s="136">
        <v>0</v>
      </c>
      <c r="S120" s="136">
        <v>0</v>
      </c>
      <c r="T120" s="136">
        <v>0</v>
      </c>
      <c r="U120" s="136">
        <v>0</v>
      </c>
      <c r="V120" s="136">
        <v>21</v>
      </c>
      <c r="W120" s="136">
        <v>31</v>
      </c>
    </row>
    <row r="121" spans="1:23" ht="72.75" customHeight="1">
      <c r="A121" s="251" t="s">
        <v>519</v>
      </c>
      <c r="B121" s="195" t="s">
        <v>144</v>
      </c>
      <c r="C121" s="251" t="s">
        <v>289</v>
      </c>
      <c r="D121" s="136">
        <v>107</v>
      </c>
      <c r="E121" s="136">
        <v>89</v>
      </c>
      <c r="F121" s="136">
        <v>324</v>
      </c>
      <c r="G121" s="136">
        <v>300</v>
      </c>
      <c r="H121" s="136">
        <v>143</v>
      </c>
      <c r="I121" s="136">
        <v>149</v>
      </c>
      <c r="J121" s="136">
        <v>129</v>
      </c>
      <c r="K121" s="136">
        <v>159</v>
      </c>
      <c r="L121" s="136">
        <v>17</v>
      </c>
      <c r="M121" s="136">
        <v>24</v>
      </c>
      <c r="N121" s="136">
        <v>9</v>
      </c>
      <c r="O121" s="136">
        <v>8</v>
      </c>
      <c r="P121" s="136">
        <v>0</v>
      </c>
      <c r="Q121" s="136">
        <v>0</v>
      </c>
      <c r="R121" s="136">
        <v>0</v>
      </c>
      <c r="S121" s="136">
        <v>0</v>
      </c>
      <c r="T121" s="136">
        <v>76</v>
      </c>
      <c r="U121" s="136">
        <v>103</v>
      </c>
      <c r="V121" s="136">
        <v>5</v>
      </c>
      <c r="W121" s="136">
        <v>2</v>
      </c>
    </row>
    <row r="122" spans="1:23" ht="72.75" customHeight="1">
      <c r="A122" s="197" t="s">
        <v>517</v>
      </c>
      <c r="B122" s="195" t="s">
        <v>518</v>
      </c>
      <c r="C122" s="251" t="s">
        <v>158</v>
      </c>
      <c r="D122" s="136">
        <v>25</v>
      </c>
      <c r="E122" s="136">
        <v>25</v>
      </c>
      <c r="F122" s="136">
        <v>154</v>
      </c>
      <c r="G122" s="136">
        <v>311</v>
      </c>
      <c r="H122" s="136">
        <v>56</v>
      </c>
      <c r="I122" s="136">
        <v>75</v>
      </c>
      <c r="J122" s="136">
        <v>99</v>
      </c>
      <c r="K122" s="136">
        <v>88</v>
      </c>
      <c r="L122" s="136">
        <v>8</v>
      </c>
      <c r="M122" s="136">
        <v>12</v>
      </c>
      <c r="N122" s="136">
        <v>13</v>
      </c>
      <c r="O122" s="136">
        <v>4</v>
      </c>
      <c r="P122" s="136">
        <v>0</v>
      </c>
      <c r="Q122" s="136">
        <v>0</v>
      </c>
      <c r="R122" s="136">
        <v>33</v>
      </c>
      <c r="S122" s="136">
        <v>62</v>
      </c>
      <c r="T122" s="136">
        <v>22</v>
      </c>
      <c r="U122" s="136">
        <v>42</v>
      </c>
      <c r="V122" s="136">
        <v>11</v>
      </c>
      <c r="W122" s="136">
        <v>20</v>
      </c>
    </row>
    <row r="123" spans="1:23" ht="72.75" customHeight="1">
      <c r="A123" s="197" t="s">
        <v>517</v>
      </c>
      <c r="B123" s="195" t="s">
        <v>518</v>
      </c>
      <c r="C123" s="251" t="s">
        <v>157</v>
      </c>
      <c r="D123" s="136">
        <v>19</v>
      </c>
      <c r="E123" s="136">
        <v>9</v>
      </c>
      <c r="F123" s="136">
        <v>138</v>
      </c>
      <c r="G123" s="136">
        <v>216</v>
      </c>
      <c r="H123" s="136">
        <v>192</v>
      </c>
      <c r="I123" s="136">
        <v>323</v>
      </c>
      <c r="J123" s="136">
        <v>341</v>
      </c>
      <c r="K123" s="136">
        <v>279</v>
      </c>
      <c r="L123" s="136">
        <v>6</v>
      </c>
      <c r="M123" s="136">
        <v>7</v>
      </c>
      <c r="N123" s="136">
        <v>1</v>
      </c>
      <c r="O123" s="136">
        <v>2</v>
      </c>
      <c r="P123" s="136">
        <v>0</v>
      </c>
      <c r="Q123" s="136">
        <v>0</v>
      </c>
      <c r="R123" s="136">
        <v>0</v>
      </c>
      <c r="S123" s="136">
        <v>0</v>
      </c>
      <c r="T123" s="136">
        <v>37</v>
      </c>
      <c r="U123" s="136">
        <v>36</v>
      </c>
      <c r="V123" s="136">
        <v>5</v>
      </c>
      <c r="W123" s="136">
        <v>8</v>
      </c>
    </row>
    <row r="124" spans="1:23" ht="72.75" customHeight="1">
      <c r="A124" s="195" t="s">
        <v>517</v>
      </c>
      <c r="B124" s="195" t="s">
        <v>154</v>
      </c>
      <c r="C124" s="251" t="s">
        <v>155</v>
      </c>
      <c r="D124" s="136">
        <v>65</v>
      </c>
      <c r="E124" s="136">
        <v>38</v>
      </c>
      <c r="F124" s="136">
        <v>416</v>
      </c>
      <c r="G124" s="136">
        <v>207</v>
      </c>
      <c r="H124" s="136">
        <v>242</v>
      </c>
      <c r="I124" s="136">
        <v>135</v>
      </c>
      <c r="J124" s="136">
        <v>1193</v>
      </c>
      <c r="K124" s="136">
        <v>760</v>
      </c>
      <c r="L124" s="136">
        <v>17</v>
      </c>
      <c r="M124" s="136">
        <v>20</v>
      </c>
      <c r="N124" s="136">
        <v>3</v>
      </c>
      <c r="O124" s="136">
        <v>1</v>
      </c>
      <c r="P124" s="136">
        <v>0</v>
      </c>
      <c r="Q124" s="136">
        <v>0</v>
      </c>
      <c r="R124" s="136">
        <v>1</v>
      </c>
      <c r="S124" s="136">
        <v>1</v>
      </c>
      <c r="T124" s="136">
        <v>246</v>
      </c>
      <c r="U124" s="136">
        <v>139</v>
      </c>
      <c r="V124" s="136">
        <v>25</v>
      </c>
      <c r="W124" s="136">
        <v>32</v>
      </c>
    </row>
    <row r="125" spans="1:23" ht="72.75" customHeight="1">
      <c r="A125" s="195" t="s">
        <v>517</v>
      </c>
      <c r="B125" s="195" t="s">
        <v>154</v>
      </c>
      <c r="C125" s="251" t="s">
        <v>156</v>
      </c>
      <c r="D125" s="136">
        <v>81</v>
      </c>
      <c r="E125" s="136">
        <v>66</v>
      </c>
      <c r="F125" s="136">
        <v>430</v>
      </c>
      <c r="G125" s="136">
        <v>381</v>
      </c>
      <c r="H125" s="136">
        <v>217</v>
      </c>
      <c r="I125" s="136">
        <v>177</v>
      </c>
      <c r="J125" s="136">
        <v>753</v>
      </c>
      <c r="K125" s="136">
        <v>669</v>
      </c>
      <c r="L125" s="136">
        <v>22</v>
      </c>
      <c r="M125" s="136">
        <v>27</v>
      </c>
      <c r="N125" s="136">
        <v>1</v>
      </c>
      <c r="O125" s="136">
        <v>2</v>
      </c>
      <c r="P125" s="136">
        <v>0</v>
      </c>
      <c r="Q125" s="136">
        <v>0</v>
      </c>
      <c r="R125" s="136">
        <v>7</v>
      </c>
      <c r="S125" s="136">
        <v>2</v>
      </c>
      <c r="T125" s="136">
        <v>27</v>
      </c>
      <c r="U125" s="136">
        <v>45</v>
      </c>
      <c r="V125" s="136">
        <v>8</v>
      </c>
      <c r="W125" s="136">
        <v>22</v>
      </c>
    </row>
    <row r="126" spans="1:23" ht="72.75" customHeight="1">
      <c r="A126" s="251" t="s">
        <v>517</v>
      </c>
      <c r="B126" s="195" t="s">
        <v>144</v>
      </c>
      <c r="C126" s="251" t="s">
        <v>159</v>
      </c>
      <c r="D126" s="136">
        <v>5</v>
      </c>
      <c r="E126" s="136">
        <v>15</v>
      </c>
      <c r="F126" s="136">
        <v>25</v>
      </c>
      <c r="G126" s="136">
        <v>98</v>
      </c>
      <c r="H126" s="136">
        <v>42</v>
      </c>
      <c r="I126" s="136">
        <v>136</v>
      </c>
      <c r="J126" s="136">
        <v>25</v>
      </c>
      <c r="K126" s="136">
        <v>65</v>
      </c>
      <c r="L126" s="136">
        <v>2</v>
      </c>
      <c r="M126" s="136">
        <v>18</v>
      </c>
      <c r="N126" s="136">
        <v>0</v>
      </c>
      <c r="O126" s="136">
        <v>4</v>
      </c>
      <c r="P126" s="136">
        <v>0</v>
      </c>
      <c r="Q126" s="136">
        <v>0</v>
      </c>
      <c r="R126" s="136">
        <v>0</v>
      </c>
      <c r="S126" s="136">
        <v>2</v>
      </c>
      <c r="T126" s="136">
        <v>5</v>
      </c>
      <c r="U126" s="136">
        <v>50</v>
      </c>
      <c r="V126" s="136">
        <v>5</v>
      </c>
      <c r="W126" s="136">
        <v>7</v>
      </c>
    </row>
    <row r="127" spans="1:23" ht="72.75" customHeight="1">
      <c r="A127" s="251" t="s">
        <v>517</v>
      </c>
      <c r="B127" s="195" t="s">
        <v>152</v>
      </c>
      <c r="C127" s="251" t="s">
        <v>33</v>
      </c>
      <c r="D127" s="136">
        <v>187</v>
      </c>
      <c r="E127" s="136">
        <v>36</v>
      </c>
      <c r="F127" s="136">
        <v>663</v>
      </c>
      <c r="G127" s="136">
        <v>148</v>
      </c>
      <c r="H127" s="136">
        <v>460</v>
      </c>
      <c r="I127" s="136">
        <v>53</v>
      </c>
      <c r="J127" s="136">
        <v>762</v>
      </c>
      <c r="K127" s="136">
        <v>184</v>
      </c>
      <c r="L127" s="136">
        <v>156</v>
      </c>
      <c r="M127" s="136">
        <v>39</v>
      </c>
      <c r="N127" s="136">
        <v>5</v>
      </c>
      <c r="O127" s="136">
        <v>1</v>
      </c>
      <c r="P127" s="136">
        <v>3</v>
      </c>
      <c r="Q127" s="136">
        <v>2</v>
      </c>
      <c r="R127" s="136">
        <v>0</v>
      </c>
      <c r="S127" s="136">
        <v>0</v>
      </c>
      <c r="T127" s="136">
        <v>21</v>
      </c>
      <c r="U127" s="136">
        <v>7</v>
      </c>
      <c r="V127" s="136">
        <v>37</v>
      </c>
      <c r="W127" s="136">
        <v>14</v>
      </c>
    </row>
    <row r="128" spans="1:23" ht="72.75" customHeight="1">
      <c r="A128" s="251" t="s">
        <v>517</v>
      </c>
      <c r="B128" s="195" t="s">
        <v>152</v>
      </c>
      <c r="C128" s="251" t="s">
        <v>34</v>
      </c>
      <c r="D128" s="136">
        <v>14</v>
      </c>
      <c r="E128" s="136">
        <v>11</v>
      </c>
      <c r="F128" s="136">
        <v>159</v>
      </c>
      <c r="G128" s="136">
        <v>130</v>
      </c>
      <c r="H128" s="136">
        <v>370</v>
      </c>
      <c r="I128" s="136">
        <v>67</v>
      </c>
      <c r="J128" s="136">
        <v>925</v>
      </c>
      <c r="K128" s="136">
        <v>80</v>
      </c>
      <c r="L128" s="136">
        <v>6</v>
      </c>
      <c r="M128" s="136">
        <v>3</v>
      </c>
      <c r="N128" s="136">
        <v>1</v>
      </c>
      <c r="O128" s="136">
        <v>0</v>
      </c>
      <c r="P128" s="136">
        <v>1</v>
      </c>
      <c r="Q128" s="136">
        <v>1</v>
      </c>
      <c r="R128" s="136">
        <v>0</v>
      </c>
      <c r="S128" s="136">
        <v>0</v>
      </c>
      <c r="T128" s="136">
        <v>34</v>
      </c>
      <c r="U128" s="136">
        <v>5</v>
      </c>
      <c r="V128" s="136">
        <v>67</v>
      </c>
      <c r="W128" s="136">
        <v>3</v>
      </c>
    </row>
    <row r="129" spans="1:23" ht="72.75" customHeight="1">
      <c r="A129" s="251" t="s">
        <v>517</v>
      </c>
      <c r="B129" s="195" t="s">
        <v>152</v>
      </c>
      <c r="C129" s="251" t="s">
        <v>35</v>
      </c>
      <c r="D129" s="136">
        <v>55</v>
      </c>
      <c r="E129" s="136">
        <v>27</v>
      </c>
      <c r="F129" s="136">
        <v>151</v>
      </c>
      <c r="G129" s="136">
        <v>293</v>
      </c>
      <c r="H129" s="136">
        <v>327</v>
      </c>
      <c r="I129" s="136">
        <v>99</v>
      </c>
      <c r="J129" s="136">
        <v>1399</v>
      </c>
      <c r="K129" s="136">
        <v>286</v>
      </c>
      <c r="L129" s="136">
        <v>29</v>
      </c>
      <c r="M129" s="136">
        <v>52</v>
      </c>
      <c r="N129" s="136">
        <v>2</v>
      </c>
      <c r="O129" s="136">
        <v>2</v>
      </c>
      <c r="P129" s="136">
        <v>0</v>
      </c>
      <c r="Q129" s="136">
        <v>0</v>
      </c>
      <c r="R129" s="136">
        <v>1</v>
      </c>
      <c r="S129" s="136">
        <v>0</v>
      </c>
      <c r="T129" s="136">
        <v>112</v>
      </c>
      <c r="U129" s="136">
        <v>72</v>
      </c>
      <c r="V129" s="136">
        <v>97</v>
      </c>
      <c r="W129" s="136">
        <v>4</v>
      </c>
    </row>
    <row r="130" spans="1:23" ht="72.75" customHeight="1">
      <c r="A130" s="195" t="s">
        <v>209</v>
      </c>
      <c r="B130" s="230" t="s">
        <v>813</v>
      </c>
      <c r="C130" s="271" t="s">
        <v>46</v>
      </c>
      <c r="D130" s="279">
        <v>74</v>
      </c>
      <c r="E130" s="279">
        <v>206</v>
      </c>
      <c r="F130" s="279">
        <v>318</v>
      </c>
      <c r="G130" s="279">
        <v>1017</v>
      </c>
      <c r="H130" s="239">
        <v>63</v>
      </c>
      <c r="I130" s="239">
        <v>212</v>
      </c>
      <c r="J130" s="279">
        <v>464</v>
      </c>
      <c r="K130" s="279">
        <v>1158</v>
      </c>
      <c r="L130" s="279">
        <v>22</v>
      </c>
      <c r="M130" s="279">
        <v>47</v>
      </c>
      <c r="N130" s="279">
        <v>0</v>
      </c>
      <c r="O130" s="279">
        <v>2</v>
      </c>
      <c r="P130" s="278">
        <v>1</v>
      </c>
      <c r="Q130" s="278">
        <v>0</v>
      </c>
      <c r="R130" s="279">
        <v>6</v>
      </c>
      <c r="S130" s="279">
        <v>37</v>
      </c>
      <c r="T130" s="279">
        <v>40</v>
      </c>
      <c r="U130" s="279">
        <v>179</v>
      </c>
      <c r="V130" s="279">
        <v>9</v>
      </c>
      <c r="W130" s="279">
        <v>27</v>
      </c>
    </row>
    <row r="131" spans="1:23" ht="72.75" customHeight="1">
      <c r="A131" s="230" t="s">
        <v>209</v>
      </c>
      <c r="B131" s="230" t="s">
        <v>813</v>
      </c>
      <c r="C131" s="229" t="s">
        <v>845</v>
      </c>
      <c r="D131" s="279">
        <v>122</v>
      </c>
      <c r="E131" s="279">
        <v>178</v>
      </c>
      <c r="F131" s="279">
        <v>474</v>
      </c>
      <c r="G131" s="279">
        <v>713</v>
      </c>
      <c r="H131" s="239">
        <v>128</v>
      </c>
      <c r="I131" s="239">
        <v>260</v>
      </c>
      <c r="J131" s="279">
        <v>713</v>
      </c>
      <c r="K131" s="279">
        <v>1676</v>
      </c>
      <c r="L131" s="279">
        <v>13</v>
      </c>
      <c r="M131" s="279">
        <v>20</v>
      </c>
      <c r="N131" s="279">
        <v>3</v>
      </c>
      <c r="O131" s="279">
        <v>3</v>
      </c>
      <c r="P131" s="278">
        <v>5</v>
      </c>
      <c r="Q131" s="278">
        <v>2</v>
      </c>
      <c r="R131" s="279">
        <v>24</v>
      </c>
      <c r="S131" s="279">
        <v>17</v>
      </c>
      <c r="T131" s="279">
        <v>45</v>
      </c>
      <c r="U131" s="279">
        <v>112</v>
      </c>
      <c r="V131" s="279">
        <v>20</v>
      </c>
      <c r="W131" s="279">
        <v>54</v>
      </c>
    </row>
    <row r="132" spans="1:23" ht="72.75" customHeight="1">
      <c r="A132" s="230" t="s">
        <v>209</v>
      </c>
      <c r="B132" s="230" t="s">
        <v>813</v>
      </c>
      <c r="C132" s="230" t="s">
        <v>174</v>
      </c>
      <c r="D132" s="279">
        <v>0</v>
      </c>
      <c r="E132" s="279">
        <v>0</v>
      </c>
      <c r="F132" s="279">
        <v>1</v>
      </c>
      <c r="G132" s="279">
        <v>1</v>
      </c>
      <c r="H132" s="239">
        <v>21</v>
      </c>
      <c r="I132" s="239">
        <v>65</v>
      </c>
      <c r="J132" s="279">
        <v>484</v>
      </c>
      <c r="K132" s="279">
        <v>1437</v>
      </c>
      <c r="L132" s="279">
        <v>0</v>
      </c>
      <c r="M132" s="279">
        <v>0</v>
      </c>
      <c r="N132" s="279">
        <v>0</v>
      </c>
      <c r="O132" s="279">
        <v>0</v>
      </c>
      <c r="P132" s="278">
        <v>2</v>
      </c>
      <c r="Q132" s="278">
        <v>0</v>
      </c>
      <c r="R132" s="279">
        <v>0</v>
      </c>
      <c r="S132" s="279">
        <v>0</v>
      </c>
      <c r="T132" s="279">
        <v>2</v>
      </c>
      <c r="U132" s="279">
        <v>9</v>
      </c>
      <c r="V132" s="279">
        <v>7</v>
      </c>
      <c r="W132" s="279">
        <v>18</v>
      </c>
    </row>
    <row r="133" spans="1:23" ht="72.75" customHeight="1">
      <c r="A133" s="230" t="s">
        <v>209</v>
      </c>
      <c r="B133" s="230" t="s">
        <v>813</v>
      </c>
      <c r="C133" s="229" t="s">
        <v>175</v>
      </c>
      <c r="D133" s="279">
        <v>23</v>
      </c>
      <c r="E133" s="279">
        <v>153</v>
      </c>
      <c r="F133" s="279">
        <v>112</v>
      </c>
      <c r="G133" s="279">
        <v>554</v>
      </c>
      <c r="H133" s="239">
        <v>0</v>
      </c>
      <c r="I133" s="239">
        <v>0</v>
      </c>
      <c r="J133" s="279">
        <v>0</v>
      </c>
      <c r="K133" s="279">
        <v>0</v>
      </c>
      <c r="L133" s="279">
        <v>2</v>
      </c>
      <c r="M133" s="279">
        <v>2</v>
      </c>
      <c r="N133" s="279">
        <v>0</v>
      </c>
      <c r="O133" s="279">
        <v>5</v>
      </c>
      <c r="P133" s="278">
        <v>0</v>
      </c>
      <c r="Q133" s="278">
        <v>0</v>
      </c>
      <c r="R133" s="279">
        <v>5</v>
      </c>
      <c r="S133" s="279">
        <v>29</v>
      </c>
      <c r="T133" s="279">
        <v>0</v>
      </c>
      <c r="U133" s="279">
        <v>0</v>
      </c>
      <c r="V133" s="279">
        <v>0</v>
      </c>
      <c r="W133" s="279">
        <v>0</v>
      </c>
    </row>
    <row r="134" spans="1:23" ht="72.75" customHeight="1">
      <c r="A134" s="230" t="s">
        <v>209</v>
      </c>
      <c r="B134" s="230" t="s">
        <v>813</v>
      </c>
      <c r="C134" s="229" t="s">
        <v>846</v>
      </c>
      <c r="D134" s="279">
        <v>52</v>
      </c>
      <c r="E134" s="279">
        <v>66</v>
      </c>
      <c r="F134" s="279">
        <v>249</v>
      </c>
      <c r="G134" s="279">
        <v>516</v>
      </c>
      <c r="H134" s="239">
        <v>0</v>
      </c>
      <c r="I134" s="239">
        <v>0</v>
      </c>
      <c r="J134" s="279">
        <v>0</v>
      </c>
      <c r="K134" s="279">
        <v>0</v>
      </c>
      <c r="L134" s="279">
        <v>7</v>
      </c>
      <c r="M134" s="279">
        <v>12</v>
      </c>
      <c r="N134" s="279">
        <v>1</v>
      </c>
      <c r="O134" s="279">
        <v>1</v>
      </c>
      <c r="P134" s="278">
        <v>1</v>
      </c>
      <c r="Q134" s="278">
        <v>0</v>
      </c>
      <c r="R134" s="279">
        <v>13</v>
      </c>
      <c r="S134" s="279">
        <v>39</v>
      </c>
      <c r="T134" s="279">
        <v>0</v>
      </c>
      <c r="U134" s="279">
        <v>0</v>
      </c>
      <c r="V134" s="279">
        <v>0</v>
      </c>
      <c r="W134" s="279">
        <v>0</v>
      </c>
    </row>
    <row r="135" spans="1:23" ht="72.75" customHeight="1">
      <c r="A135" s="230" t="s">
        <v>209</v>
      </c>
      <c r="B135" s="230" t="s">
        <v>813</v>
      </c>
      <c r="C135" s="229" t="s">
        <v>48</v>
      </c>
      <c r="D135" s="279">
        <v>53</v>
      </c>
      <c r="E135" s="279">
        <v>248</v>
      </c>
      <c r="F135" s="279">
        <v>201</v>
      </c>
      <c r="G135" s="279">
        <v>1080</v>
      </c>
      <c r="H135" s="239">
        <v>15</v>
      </c>
      <c r="I135" s="239">
        <v>97</v>
      </c>
      <c r="J135" s="279">
        <v>107</v>
      </c>
      <c r="K135" s="279">
        <v>369</v>
      </c>
      <c r="L135" s="279">
        <v>3</v>
      </c>
      <c r="M135" s="279">
        <v>20</v>
      </c>
      <c r="N135" s="279">
        <v>2</v>
      </c>
      <c r="O135" s="279">
        <v>1</v>
      </c>
      <c r="P135" s="278">
        <v>0</v>
      </c>
      <c r="Q135" s="278">
        <v>0</v>
      </c>
      <c r="R135" s="279">
        <v>29</v>
      </c>
      <c r="S135" s="279">
        <v>280</v>
      </c>
      <c r="T135" s="279">
        <v>19</v>
      </c>
      <c r="U135" s="279">
        <v>140</v>
      </c>
      <c r="V135" s="279">
        <v>6</v>
      </c>
      <c r="W135" s="279">
        <v>17</v>
      </c>
    </row>
    <row r="136" spans="1:23" ht="72.75" customHeight="1">
      <c r="A136" s="230" t="s">
        <v>209</v>
      </c>
      <c r="B136" s="230" t="s">
        <v>813</v>
      </c>
      <c r="C136" s="229" t="s">
        <v>41</v>
      </c>
      <c r="D136" s="279">
        <v>42</v>
      </c>
      <c r="E136" s="279">
        <v>252</v>
      </c>
      <c r="F136" s="279">
        <v>144</v>
      </c>
      <c r="G136" s="279">
        <v>816</v>
      </c>
      <c r="H136" s="239">
        <v>20</v>
      </c>
      <c r="I136" s="239">
        <v>94</v>
      </c>
      <c r="J136" s="279">
        <v>841</v>
      </c>
      <c r="K136" s="279">
        <v>2126</v>
      </c>
      <c r="L136" s="279">
        <v>6</v>
      </c>
      <c r="M136" s="279">
        <v>21</v>
      </c>
      <c r="N136" s="279">
        <v>2</v>
      </c>
      <c r="O136" s="279">
        <v>4</v>
      </c>
      <c r="P136" s="278">
        <v>1</v>
      </c>
      <c r="Q136" s="278">
        <v>2</v>
      </c>
      <c r="R136" s="279">
        <v>5</v>
      </c>
      <c r="S136" s="279">
        <v>89</v>
      </c>
      <c r="T136" s="279">
        <v>10</v>
      </c>
      <c r="U136" s="279">
        <v>98</v>
      </c>
      <c r="V136" s="279">
        <v>3</v>
      </c>
      <c r="W136" s="279">
        <v>18</v>
      </c>
    </row>
    <row r="137" spans="1:23" ht="72.75" customHeight="1">
      <c r="A137" s="230" t="s">
        <v>209</v>
      </c>
      <c r="B137" s="230" t="s">
        <v>813</v>
      </c>
      <c r="C137" s="229" t="s">
        <v>42</v>
      </c>
      <c r="D137" s="279">
        <v>16</v>
      </c>
      <c r="E137" s="279">
        <v>52</v>
      </c>
      <c r="F137" s="279">
        <v>68</v>
      </c>
      <c r="G137" s="279">
        <v>312</v>
      </c>
      <c r="H137" s="239">
        <v>23</v>
      </c>
      <c r="I137" s="239">
        <v>175</v>
      </c>
      <c r="J137" s="279">
        <v>293</v>
      </c>
      <c r="K137" s="279">
        <v>2067</v>
      </c>
      <c r="L137" s="279">
        <v>10</v>
      </c>
      <c r="M137" s="279">
        <v>19</v>
      </c>
      <c r="N137" s="279">
        <v>0</v>
      </c>
      <c r="O137" s="279">
        <v>5</v>
      </c>
      <c r="P137" s="278">
        <v>0</v>
      </c>
      <c r="Q137" s="278">
        <v>3</v>
      </c>
      <c r="R137" s="279">
        <v>0</v>
      </c>
      <c r="S137" s="279">
        <v>7</v>
      </c>
      <c r="T137" s="279">
        <v>6</v>
      </c>
      <c r="U137" s="279">
        <v>29</v>
      </c>
      <c r="V137" s="279">
        <v>7</v>
      </c>
      <c r="W137" s="279">
        <v>45</v>
      </c>
    </row>
    <row r="138" spans="1:23" ht="72.75" customHeight="1">
      <c r="A138" s="230" t="s">
        <v>209</v>
      </c>
      <c r="B138" s="252" t="s">
        <v>813</v>
      </c>
      <c r="C138" s="287" t="s">
        <v>43</v>
      </c>
      <c r="D138" s="280">
        <v>15</v>
      </c>
      <c r="E138" s="280">
        <v>41</v>
      </c>
      <c r="F138" s="280">
        <v>93</v>
      </c>
      <c r="G138" s="280">
        <v>289</v>
      </c>
      <c r="H138" s="282">
        <v>38</v>
      </c>
      <c r="I138" s="282">
        <v>137</v>
      </c>
      <c r="J138" s="280">
        <v>235</v>
      </c>
      <c r="K138" s="280">
        <v>701</v>
      </c>
      <c r="L138" s="280">
        <v>6</v>
      </c>
      <c r="M138" s="280">
        <v>12</v>
      </c>
      <c r="N138" s="280">
        <v>4</v>
      </c>
      <c r="O138" s="280">
        <v>4</v>
      </c>
      <c r="P138" s="290">
        <v>0</v>
      </c>
      <c r="Q138" s="290">
        <v>1</v>
      </c>
      <c r="R138" s="280">
        <v>5</v>
      </c>
      <c r="S138" s="280">
        <v>14</v>
      </c>
      <c r="T138" s="280">
        <v>5</v>
      </c>
      <c r="U138" s="280">
        <v>54</v>
      </c>
      <c r="V138" s="280">
        <v>7</v>
      </c>
      <c r="W138" s="280">
        <v>22</v>
      </c>
    </row>
    <row r="139" spans="1:23" ht="72.75" customHeight="1">
      <c r="A139" s="230" t="s">
        <v>209</v>
      </c>
      <c r="B139" s="253" t="s">
        <v>813</v>
      </c>
      <c r="C139" s="288" t="s">
        <v>847</v>
      </c>
      <c r="D139" s="279">
        <v>5</v>
      </c>
      <c r="E139" s="279">
        <v>26</v>
      </c>
      <c r="F139" s="240">
        <v>44</v>
      </c>
      <c r="G139" s="279">
        <v>195</v>
      </c>
      <c r="H139" s="239">
        <v>29</v>
      </c>
      <c r="I139" s="239">
        <v>87</v>
      </c>
      <c r="J139" s="279">
        <v>91</v>
      </c>
      <c r="K139" s="279">
        <v>371</v>
      </c>
      <c r="L139" s="240">
        <v>0</v>
      </c>
      <c r="M139" s="279">
        <v>2</v>
      </c>
      <c r="N139" s="279">
        <v>1</v>
      </c>
      <c r="O139" s="279">
        <v>1</v>
      </c>
      <c r="P139" s="241">
        <v>0</v>
      </c>
      <c r="Q139" s="278">
        <v>0</v>
      </c>
      <c r="R139" s="279">
        <v>6</v>
      </c>
      <c r="S139" s="279">
        <v>20</v>
      </c>
      <c r="T139" s="279">
        <v>11</v>
      </c>
      <c r="U139" s="279">
        <v>26</v>
      </c>
      <c r="V139" s="279">
        <v>5</v>
      </c>
      <c r="W139" s="242">
        <v>19</v>
      </c>
    </row>
    <row r="140" spans="1:23" ht="72.75" customHeight="1">
      <c r="A140" s="230" t="s">
        <v>209</v>
      </c>
      <c r="B140" s="253" t="s">
        <v>813</v>
      </c>
      <c r="C140" s="288" t="s">
        <v>848</v>
      </c>
      <c r="D140" s="279">
        <v>11</v>
      </c>
      <c r="E140" s="279">
        <v>48</v>
      </c>
      <c r="F140" s="279">
        <v>57</v>
      </c>
      <c r="G140" s="240">
        <v>264</v>
      </c>
      <c r="H140" s="239">
        <v>17</v>
      </c>
      <c r="I140" s="239">
        <v>87</v>
      </c>
      <c r="J140" s="279">
        <v>100</v>
      </c>
      <c r="K140" s="279">
        <v>378</v>
      </c>
      <c r="L140" s="279">
        <v>4</v>
      </c>
      <c r="M140" s="240">
        <v>5</v>
      </c>
      <c r="N140" s="279">
        <v>2</v>
      </c>
      <c r="O140" s="279">
        <v>6</v>
      </c>
      <c r="P140" s="278">
        <v>0</v>
      </c>
      <c r="Q140" s="241">
        <v>4</v>
      </c>
      <c r="R140" s="279">
        <v>7</v>
      </c>
      <c r="S140" s="279">
        <v>14</v>
      </c>
      <c r="T140" s="279">
        <v>7</v>
      </c>
      <c r="U140" s="279">
        <v>22</v>
      </c>
      <c r="V140" s="279">
        <v>4</v>
      </c>
      <c r="W140" s="279">
        <v>12</v>
      </c>
    </row>
    <row r="141" spans="1:23" ht="72.75" customHeight="1">
      <c r="A141" s="230" t="s">
        <v>209</v>
      </c>
      <c r="B141" s="253" t="s">
        <v>813</v>
      </c>
      <c r="C141" s="229" t="s">
        <v>849</v>
      </c>
      <c r="D141" s="279">
        <v>23</v>
      </c>
      <c r="E141" s="279">
        <v>134</v>
      </c>
      <c r="F141" s="279">
        <v>85</v>
      </c>
      <c r="G141" s="240">
        <v>497</v>
      </c>
      <c r="H141" s="279">
        <v>26</v>
      </c>
      <c r="I141" s="279">
        <v>175</v>
      </c>
      <c r="J141" s="279">
        <v>188</v>
      </c>
      <c r="K141" s="279">
        <v>633</v>
      </c>
      <c r="L141" s="279">
        <v>5</v>
      </c>
      <c r="M141" s="240">
        <v>19</v>
      </c>
      <c r="N141" s="279">
        <v>0</v>
      </c>
      <c r="O141" s="279">
        <v>2</v>
      </c>
      <c r="P141" s="278">
        <v>0</v>
      </c>
      <c r="Q141" s="241">
        <v>0</v>
      </c>
      <c r="R141" s="279">
        <v>2</v>
      </c>
      <c r="S141" s="279">
        <v>7</v>
      </c>
      <c r="T141" s="279">
        <v>5</v>
      </c>
      <c r="U141" s="279">
        <v>32</v>
      </c>
      <c r="V141" s="279">
        <v>6</v>
      </c>
      <c r="W141" s="279">
        <v>22</v>
      </c>
    </row>
    <row r="142" spans="1:23" ht="72.75" customHeight="1">
      <c r="A142" s="230" t="s">
        <v>209</v>
      </c>
      <c r="B142" s="253" t="s">
        <v>813</v>
      </c>
      <c r="C142" s="229" t="s">
        <v>850</v>
      </c>
      <c r="D142" s="279">
        <v>44</v>
      </c>
      <c r="E142" s="279">
        <v>27</v>
      </c>
      <c r="F142" s="279">
        <v>205</v>
      </c>
      <c r="G142" s="240">
        <v>212</v>
      </c>
      <c r="H142" s="239">
        <v>82</v>
      </c>
      <c r="I142" s="239">
        <v>96</v>
      </c>
      <c r="J142" s="279">
        <v>240</v>
      </c>
      <c r="K142" s="279">
        <v>213</v>
      </c>
      <c r="L142" s="279">
        <v>3</v>
      </c>
      <c r="M142" s="240">
        <v>1</v>
      </c>
      <c r="N142" s="279">
        <v>0</v>
      </c>
      <c r="O142" s="279">
        <v>0</v>
      </c>
      <c r="P142" s="278">
        <v>0</v>
      </c>
      <c r="Q142" s="241">
        <v>0</v>
      </c>
      <c r="R142" s="279">
        <v>3</v>
      </c>
      <c r="S142" s="279">
        <v>2</v>
      </c>
      <c r="T142" s="279">
        <v>9</v>
      </c>
      <c r="U142" s="279">
        <v>12</v>
      </c>
      <c r="V142" s="279">
        <v>8</v>
      </c>
      <c r="W142" s="279">
        <v>10</v>
      </c>
    </row>
    <row r="143" spans="1:23" ht="72.75" customHeight="1">
      <c r="A143" s="230" t="s">
        <v>209</v>
      </c>
      <c r="B143" s="253" t="s">
        <v>813</v>
      </c>
      <c r="C143" s="230" t="s">
        <v>851</v>
      </c>
      <c r="D143" s="239">
        <v>14</v>
      </c>
      <c r="E143" s="239">
        <v>76</v>
      </c>
      <c r="F143" s="239">
        <v>72</v>
      </c>
      <c r="G143" s="243">
        <v>260</v>
      </c>
      <c r="H143" s="239">
        <v>20</v>
      </c>
      <c r="I143" s="239">
        <v>74</v>
      </c>
      <c r="J143" s="239">
        <v>50</v>
      </c>
      <c r="K143" s="239">
        <v>132</v>
      </c>
      <c r="L143" s="239">
        <v>7</v>
      </c>
      <c r="M143" s="243">
        <v>12</v>
      </c>
      <c r="N143" s="239">
        <v>0</v>
      </c>
      <c r="O143" s="239">
        <v>0</v>
      </c>
      <c r="P143" s="278">
        <v>1</v>
      </c>
      <c r="Q143" s="241">
        <v>0</v>
      </c>
      <c r="R143" s="279">
        <v>2</v>
      </c>
      <c r="S143" s="279">
        <v>7</v>
      </c>
      <c r="T143" s="279">
        <v>6</v>
      </c>
      <c r="U143" s="279">
        <v>27</v>
      </c>
      <c r="V143" s="279">
        <v>4</v>
      </c>
      <c r="W143" s="279">
        <v>9</v>
      </c>
    </row>
    <row r="144" spans="1:23" ht="72.75" customHeight="1">
      <c r="A144" s="273" t="s">
        <v>209</v>
      </c>
      <c r="B144" s="274" t="s">
        <v>813</v>
      </c>
      <c r="C144" s="273" t="s">
        <v>185</v>
      </c>
      <c r="D144" s="279">
        <v>8</v>
      </c>
      <c r="E144" s="279">
        <v>19</v>
      </c>
      <c r="F144" s="279">
        <v>27</v>
      </c>
      <c r="G144" s="240">
        <v>33</v>
      </c>
      <c r="H144" s="239">
        <v>0</v>
      </c>
      <c r="I144" s="239">
        <v>0</v>
      </c>
      <c r="J144" s="279">
        <v>0</v>
      </c>
      <c r="K144" s="279">
        <v>0</v>
      </c>
      <c r="L144" s="279">
        <v>5</v>
      </c>
      <c r="M144" s="240">
        <v>8</v>
      </c>
      <c r="N144" s="279">
        <v>3</v>
      </c>
      <c r="O144" s="279">
        <v>3</v>
      </c>
      <c r="P144" s="278" t="s">
        <v>186</v>
      </c>
      <c r="Q144" s="241" t="s">
        <v>186</v>
      </c>
      <c r="R144" s="279">
        <v>0</v>
      </c>
      <c r="S144" s="279">
        <v>0</v>
      </c>
      <c r="T144" s="279">
        <v>0</v>
      </c>
      <c r="U144" s="279">
        <v>0</v>
      </c>
      <c r="V144" s="279">
        <v>0</v>
      </c>
      <c r="W144" s="279">
        <v>0</v>
      </c>
    </row>
    <row r="145" spans="1:23" ht="72.75" customHeight="1">
      <c r="A145" s="230" t="s">
        <v>209</v>
      </c>
      <c r="B145" s="253" t="s">
        <v>152</v>
      </c>
      <c r="C145" s="229" t="s">
        <v>852</v>
      </c>
      <c r="D145" s="279">
        <v>146</v>
      </c>
      <c r="E145" s="279">
        <v>78</v>
      </c>
      <c r="F145" s="279">
        <v>611</v>
      </c>
      <c r="G145" s="240">
        <v>362</v>
      </c>
      <c r="H145" s="239">
        <v>219</v>
      </c>
      <c r="I145" s="239">
        <v>133</v>
      </c>
      <c r="J145" s="279">
        <v>1939</v>
      </c>
      <c r="K145" s="279">
        <v>628</v>
      </c>
      <c r="L145" s="279">
        <v>20</v>
      </c>
      <c r="M145" s="240">
        <v>11</v>
      </c>
      <c r="N145" s="279">
        <v>8</v>
      </c>
      <c r="O145" s="279">
        <v>0</v>
      </c>
      <c r="P145" s="278">
        <v>13</v>
      </c>
      <c r="Q145" s="241">
        <v>5</v>
      </c>
      <c r="R145" s="279">
        <v>4</v>
      </c>
      <c r="S145" s="279">
        <v>2</v>
      </c>
      <c r="T145" s="279">
        <v>49</v>
      </c>
      <c r="U145" s="279">
        <v>13</v>
      </c>
      <c r="V145" s="279">
        <v>68</v>
      </c>
      <c r="W145" s="279">
        <v>36</v>
      </c>
    </row>
    <row r="146" spans="1:23" ht="72.75" customHeight="1">
      <c r="A146" s="230" t="s">
        <v>209</v>
      </c>
      <c r="B146" s="253" t="s">
        <v>152</v>
      </c>
      <c r="C146" s="229" t="s">
        <v>853</v>
      </c>
      <c r="D146" s="279">
        <v>56</v>
      </c>
      <c r="E146" s="279">
        <v>114</v>
      </c>
      <c r="F146" s="279">
        <v>227</v>
      </c>
      <c r="G146" s="240">
        <v>381</v>
      </c>
      <c r="H146" s="239">
        <v>37</v>
      </c>
      <c r="I146" s="239">
        <v>47</v>
      </c>
      <c r="J146" s="279">
        <v>600</v>
      </c>
      <c r="K146" s="279">
        <v>526</v>
      </c>
      <c r="L146" s="279">
        <v>9</v>
      </c>
      <c r="M146" s="240">
        <v>18</v>
      </c>
      <c r="N146" s="279">
        <v>1</v>
      </c>
      <c r="O146" s="279">
        <v>1</v>
      </c>
      <c r="P146" s="278">
        <v>0</v>
      </c>
      <c r="Q146" s="241">
        <v>0</v>
      </c>
      <c r="R146" s="279">
        <v>7</v>
      </c>
      <c r="S146" s="279">
        <v>18</v>
      </c>
      <c r="T146" s="279">
        <v>20</v>
      </c>
      <c r="U146" s="279">
        <v>60</v>
      </c>
      <c r="V146" s="279">
        <v>11</v>
      </c>
      <c r="W146" s="279">
        <v>14</v>
      </c>
    </row>
    <row r="147" spans="1:23" ht="72.75" customHeight="1">
      <c r="A147" s="230" t="s">
        <v>209</v>
      </c>
      <c r="B147" s="253" t="s">
        <v>152</v>
      </c>
      <c r="C147" s="229" t="s">
        <v>32</v>
      </c>
      <c r="D147" s="279">
        <v>118</v>
      </c>
      <c r="E147" s="279">
        <v>115</v>
      </c>
      <c r="F147" s="279">
        <v>581</v>
      </c>
      <c r="G147" s="240">
        <v>507</v>
      </c>
      <c r="H147" s="239">
        <v>258</v>
      </c>
      <c r="I147" s="239">
        <v>199</v>
      </c>
      <c r="J147" s="279">
        <v>2165</v>
      </c>
      <c r="K147" s="279">
        <v>1135</v>
      </c>
      <c r="L147" s="279">
        <v>37</v>
      </c>
      <c r="M147" s="240">
        <v>17</v>
      </c>
      <c r="N147" s="279">
        <v>1</v>
      </c>
      <c r="O147" s="279">
        <v>5</v>
      </c>
      <c r="P147" s="278">
        <v>8</v>
      </c>
      <c r="Q147" s="241">
        <v>4</v>
      </c>
      <c r="R147" s="279">
        <v>10</v>
      </c>
      <c r="S147" s="279">
        <v>6</v>
      </c>
      <c r="T147" s="279">
        <v>49</v>
      </c>
      <c r="U147" s="279">
        <v>24</v>
      </c>
      <c r="V147" s="279">
        <v>53</v>
      </c>
      <c r="W147" s="279">
        <v>50</v>
      </c>
    </row>
    <row r="148" spans="1:23" ht="72.75" customHeight="1">
      <c r="A148" s="230" t="s">
        <v>209</v>
      </c>
      <c r="B148" s="253" t="s">
        <v>152</v>
      </c>
      <c r="C148" s="229" t="s">
        <v>30</v>
      </c>
      <c r="D148" s="279">
        <v>66</v>
      </c>
      <c r="E148" s="279">
        <v>99</v>
      </c>
      <c r="F148" s="279">
        <v>222</v>
      </c>
      <c r="G148" s="240">
        <v>406</v>
      </c>
      <c r="H148" s="239">
        <v>68</v>
      </c>
      <c r="I148" s="239">
        <v>82</v>
      </c>
      <c r="J148" s="279">
        <v>475</v>
      </c>
      <c r="K148" s="279">
        <v>491</v>
      </c>
      <c r="L148" s="279">
        <v>21</v>
      </c>
      <c r="M148" s="240">
        <v>20</v>
      </c>
      <c r="N148" s="279">
        <v>4</v>
      </c>
      <c r="O148" s="279">
        <v>6</v>
      </c>
      <c r="P148" s="278">
        <v>3</v>
      </c>
      <c r="Q148" s="241">
        <v>3</v>
      </c>
      <c r="R148" s="279">
        <v>4</v>
      </c>
      <c r="S148" s="279">
        <v>8</v>
      </c>
      <c r="T148" s="279">
        <v>21</v>
      </c>
      <c r="U148" s="279">
        <v>42</v>
      </c>
      <c r="V148" s="279">
        <v>20</v>
      </c>
      <c r="W148" s="279">
        <v>33</v>
      </c>
    </row>
    <row r="149" spans="1:23" ht="72.75" customHeight="1">
      <c r="A149" s="230" t="s">
        <v>209</v>
      </c>
      <c r="B149" s="253" t="s">
        <v>152</v>
      </c>
      <c r="C149" s="229" t="s">
        <v>854</v>
      </c>
      <c r="D149" s="279">
        <v>34</v>
      </c>
      <c r="E149" s="279">
        <v>26</v>
      </c>
      <c r="F149" s="279">
        <v>196</v>
      </c>
      <c r="G149" s="240">
        <v>217</v>
      </c>
      <c r="H149" s="239">
        <v>111</v>
      </c>
      <c r="I149" s="239">
        <v>113</v>
      </c>
      <c r="J149" s="279">
        <v>811</v>
      </c>
      <c r="K149" s="279">
        <v>484</v>
      </c>
      <c r="L149" s="279">
        <v>6</v>
      </c>
      <c r="M149" s="240">
        <v>7</v>
      </c>
      <c r="N149" s="279">
        <v>4</v>
      </c>
      <c r="O149" s="279">
        <v>3</v>
      </c>
      <c r="P149" s="278">
        <v>0</v>
      </c>
      <c r="Q149" s="241">
        <v>0</v>
      </c>
      <c r="R149" s="279">
        <v>0</v>
      </c>
      <c r="S149" s="279">
        <v>0</v>
      </c>
      <c r="T149" s="279">
        <v>8</v>
      </c>
      <c r="U149" s="279">
        <v>13</v>
      </c>
      <c r="V149" s="279">
        <v>20</v>
      </c>
      <c r="W149" s="279">
        <v>15</v>
      </c>
    </row>
    <row r="150" spans="1:23" ht="72.75" customHeight="1">
      <c r="A150" s="230" t="s">
        <v>209</v>
      </c>
      <c r="B150" s="253" t="s">
        <v>152</v>
      </c>
      <c r="C150" s="229" t="s">
        <v>855</v>
      </c>
      <c r="D150" s="279">
        <v>215</v>
      </c>
      <c r="E150" s="279">
        <v>68</v>
      </c>
      <c r="F150" s="279">
        <v>868</v>
      </c>
      <c r="G150" s="240">
        <v>236</v>
      </c>
      <c r="H150" s="239">
        <v>324</v>
      </c>
      <c r="I150" s="239">
        <v>70</v>
      </c>
      <c r="J150" s="279">
        <v>1173</v>
      </c>
      <c r="K150" s="279">
        <v>189</v>
      </c>
      <c r="L150" s="279">
        <v>29</v>
      </c>
      <c r="M150" s="240">
        <v>13</v>
      </c>
      <c r="N150" s="279">
        <v>10</v>
      </c>
      <c r="O150" s="279">
        <v>1</v>
      </c>
      <c r="P150" s="278">
        <v>40</v>
      </c>
      <c r="Q150" s="241">
        <v>4</v>
      </c>
      <c r="R150" s="279">
        <v>12</v>
      </c>
      <c r="S150" s="279">
        <v>1</v>
      </c>
      <c r="T150" s="279">
        <v>88</v>
      </c>
      <c r="U150" s="279">
        <v>17</v>
      </c>
      <c r="V150" s="279">
        <v>69</v>
      </c>
      <c r="W150" s="279">
        <v>15</v>
      </c>
    </row>
    <row r="151" spans="1:23" ht="72.75" customHeight="1">
      <c r="A151" s="230" t="s">
        <v>209</v>
      </c>
      <c r="B151" s="253" t="s">
        <v>152</v>
      </c>
      <c r="C151" s="229" t="s">
        <v>856</v>
      </c>
      <c r="D151" s="279">
        <v>49</v>
      </c>
      <c r="E151" s="279">
        <v>84</v>
      </c>
      <c r="F151" s="279">
        <v>173</v>
      </c>
      <c r="G151" s="240">
        <v>298</v>
      </c>
      <c r="H151" s="239">
        <v>65</v>
      </c>
      <c r="I151" s="239">
        <v>74</v>
      </c>
      <c r="J151" s="279">
        <v>340</v>
      </c>
      <c r="K151" s="279">
        <v>490</v>
      </c>
      <c r="L151" s="279">
        <v>8</v>
      </c>
      <c r="M151" s="240">
        <v>14</v>
      </c>
      <c r="N151" s="279">
        <v>1</v>
      </c>
      <c r="O151" s="279">
        <v>0</v>
      </c>
      <c r="P151" s="278">
        <v>0</v>
      </c>
      <c r="Q151" s="241">
        <v>2</v>
      </c>
      <c r="R151" s="279">
        <v>0</v>
      </c>
      <c r="S151" s="279">
        <v>0</v>
      </c>
      <c r="T151" s="279">
        <v>9</v>
      </c>
      <c r="U151" s="279">
        <v>17</v>
      </c>
      <c r="V151" s="279">
        <v>4</v>
      </c>
      <c r="W151" s="279">
        <v>14</v>
      </c>
    </row>
    <row r="152" spans="1:23" ht="72.75" customHeight="1">
      <c r="A152" s="230" t="s">
        <v>209</v>
      </c>
      <c r="B152" s="253" t="s">
        <v>152</v>
      </c>
      <c r="C152" s="229" t="s">
        <v>857</v>
      </c>
      <c r="D152" s="279">
        <v>28</v>
      </c>
      <c r="E152" s="279">
        <v>8</v>
      </c>
      <c r="F152" s="279">
        <v>191</v>
      </c>
      <c r="G152" s="240">
        <v>60</v>
      </c>
      <c r="H152" s="239">
        <v>0</v>
      </c>
      <c r="I152" s="239">
        <v>0</v>
      </c>
      <c r="J152" s="279">
        <v>0</v>
      </c>
      <c r="K152" s="279">
        <v>0</v>
      </c>
      <c r="L152" s="279">
        <v>7</v>
      </c>
      <c r="M152" s="240">
        <v>3</v>
      </c>
      <c r="N152" s="279">
        <v>2</v>
      </c>
      <c r="O152" s="279">
        <v>0</v>
      </c>
      <c r="P152" s="278">
        <v>2</v>
      </c>
      <c r="Q152" s="241">
        <v>0</v>
      </c>
      <c r="R152" s="279">
        <v>1</v>
      </c>
      <c r="S152" s="279">
        <v>0</v>
      </c>
      <c r="T152" s="279">
        <v>0</v>
      </c>
      <c r="U152" s="279">
        <v>0</v>
      </c>
      <c r="V152" s="279">
        <v>0</v>
      </c>
      <c r="W152" s="279">
        <v>0</v>
      </c>
    </row>
    <row r="153" spans="1:23" ht="72.75" customHeight="1">
      <c r="A153" s="230" t="s">
        <v>209</v>
      </c>
      <c r="B153" s="253" t="s">
        <v>152</v>
      </c>
      <c r="C153" s="229" t="s">
        <v>858</v>
      </c>
      <c r="D153" s="279">
        <v>169</v>
      </c>
      <c r="E153" s="279">
        <v>49</v>
      </c>
      <c r="F153" s="279">
        <v>576</v>
      </c>
      <c r="G153" s="240">
        <v>197</v>
      </c>
      <c r="H153" s="279">
        <v>0</v>
      </c>
      <c r="I153" s="279">
        <v>0</v>
      </c>
      <c r="J153" s="279">
        <v>0</v>
      </c>
      <c r="K153" s="279">
        <v>0</v>
      </c>
      <c r="L153" s="279">
        <v>26</v>
      </c>
      <c r="M153" s="240">
        <v>16</v>
      </c>
      <c r="N153" s="279">
        <v>8</v>
      </c>
      <c r="O153" s="279">
        <v>0</v>
      </c>
      <c r="P153" s="278">
        <v>2</v>
      </c>
      <c r="Q153" s="241">
        <v>0</v>
      </c>
      <c r="R153" s="279">
        <v>0</v>
      </c>
      <c r="S153" s="279">
        <v>0</v>
      </c>
      <c r="T153" s="279">
        <v>0</v>
      </c>
      <c r="U153" s="279">
        <v>0</v>
      </c>
      <c r="V153" s="279">
        <v>0</v>
      </c>
      <c r="W153" s="279">
        <v>0</v>
      </c>
    </row>
    <row r="154" spans="1:23" ht="72.75" customHeight="1">
      <c r="A154" s="230" t="s">
        <v>209</v>
      </c>
      <c r="B154" s="253" t="s">
        <v>144</v>
      </c>
      <c r="C154" s="229" t="s">
        <v>859</v>
      </c>
      <c r="D154" s="279">
        <v>163</v>
      </c>
      <c r="E154" s="279">
        <v>249</v>
      </c>
      <c r="F154" s="279">
        <v>787</v>
      </c>
      <c r="G154" s="240">
        <v>1053</v>
      </c>
      <c r="H154" s="279">
        <v>56</v>
      </c>
      <c r="I154" s="279">
        <v>55</v>
      </c>
      <c r="J154" s="279">
        <v>635</v>
      </c>
      <c r="K154" s="279">
        <v>478</v>
      </c>
      <c r="L154" s="279">
        <v>19</v>
      </c>
      <c r="M154" s="240">
        <v>27</v>
      </c>
      <c r="N154" s="279">
        <v>0</v>
      </c>
      <c r="O154" s="279">
        <v>2</v>
      </c>
      <c r="P154" s="278">
        <v>0</v>
      </c>
      <c r="Q154" s="241">
        <v>0</v>
      </c>
      <c r="R154" s="279">
        <v>127</v>
      </c>
      <c r="S154" s="279">
        <v>153</v>
      </c>
      <c r="T154" s="279">
        <v>29</v>
      </c>
      <c r="U154" s="279">
        <v>25</v>
      </c>
      <c r="V154" s="279">
        <v>3</v>
      </c>
      <c r="W154" s="279">
        <v>11</v>
      </c>
    </row>
    <row r="155" spans="1:23" ht="72.75" customHeight="1">
      <c r="A155" s="273" t="s">
        <v>209</v>
      </c>
      <c r="B155" s="274" t="s">
        <v>144</v>
      </c>
      <c r="C155" s="272" t="s">
        <v>196</v>
      </c>
      <c r="D155" s="279">
        <v>19</v>
      </c>
      <c r="E155" s="279">
        <v>21</v>
      </c>
      <c r="F155" s="279">
        <v>19</v>
      </c>
      <c r="G155" s="240">
        <v>21</v>
      </c>
      <c r="H155" s="279">
        <v>0</v>
      </c>
      <c r="I155" s="279">
        <v>0</v>
      </c>
      <c r="J155" s="279">
        <v>0</v>
      </c>
      <c r="K155" s="279">
        <v>0</v>
      </c>
      <c r="L155" s="279">
        <v>0</v>
      </c>
      <c r="M155" s="240">
        <v>0</v>
      </c>
      <c r="N155" s="279">
        <v>1</v>
      </c>
      <c r="O155" s="279">
        <v>0</v>
      </c>
      <c r="P155" s="278" t="s">
        <v>186</v>
      </c>
      <c r="Q155" s="241" t="s">
        <v>186</v>
      </c>
      <c r="R155" s="279">
        <v>0</v>
      </c>
      <c r="S155" s="279">
        <v>0</v>
      </c>
      <c r="T155" s="279">
        <v>0</v>
      </c>
      <c r="U155" s="279">
        <v>0</v>
      </c>
      <c r="V155" s="279">
        <v>0</v>
      </c>
      <c r="W155" s="279">
        <v>0</v>
      </c>
    </row>
    <row r="156" spans="1:23" ht="72.75" customHeight="1">
      <c r="A156" s="230" t="s">
        <v>209</v>
      </c>
      <c r="B156" s="253" t="s">
        <v>144</v>
      </c>
      <c r="C156" s="229" t="s">
        <v>860</v>
      </c>
      <c r="D156" s="279">
        <v>60</v>
      </c>
      <c r="E156" s="279">
        <v>96</v>
      </c>
      <c r="F156" s="279">
        <v>239</v>
      </c>
      <c r="G156" s="240">
        <v>418</v>
      </c>
      <c r="H156" s="279">
        <v>21</v>
      </c>
      <c r="I156" s="279">
        <v>21</v>
      </c>
      <c r="J156" s="279">
        <v>162</v>
      </c>
      <c r="K156" s="279">
        <v>149</v>
      </c>
      <c r="L156" s="279">
        <v>4</v>
      </c>
      <c r="M156" s="240">
        <v>10</v>
      </c>
      <c r="N156" s="279">
        <v>4</v>
      </c>
      <c r="O156" s="279">
        <v>2</v>
      </c>
      <c r="P156" s="278">
        <v>1</v>
      </c>
      <c r="Q156" s="241">
        <v>1</v>
      </c>
      <c r="R156" s="279">
        <v>16</v>
      </c>
      <c r="S156" s="279">
        <v>25</v>
      </c>
      <c r="T156" s="279">
        <v>35</v>
      </c>
      <c r="U156" s="279">
        <v>58</v>
      </c>
      <c r="V156" s="279">
        <v>3</v>
      </c>
      <c r="W156" s="279">
        <v>3</v>
      </c>
    </row>
    <row r="157" spans="1:23" ht="72.75" customHeight="1">
      <c r="A157" s="230" t="s">
        <v>209</v>
      </c>
      <c r="B157" s="253" t="s">
        <v>144</v>
      </c>
      <c r="C157" s="229" t="s">
        <v>861</v>
      </c>
      <c r="D157" s="279">
        <v>59</v>
      </c>
      <c r="E157" s="279">
        <v>123</v>
      </c>
      <c r="F157" s="279">
        <v>258</v>
      </c>
      <c r="G157" s="240">
        <v>524</v>
      </c>
      <c r="H157" s="239">
        <v>64</v>
      </c>
      <c r="I157" s="239">
        <v>105</v>
      </c>
      <c r="J157" s="279">
        <v>423</v>
      </c>
      <c r="K157" s="279">
        <v>388</v>
      </c>
      <c r="L157" s="279">
        <v>12</v>
      </c>
      <c r="M157" s="240">
        <v>29</v>
      </c>
      <c r="N157" s="279">
        <v>3</v>
      </c>
      <c r="O157" s="279">
        <v>9</v>
      </c>
      <c r="P157" s="278">
        <v>0</v>
      </c>
      <c r="Q157" s="241">
        <v>0</v>
      </c>
      <c r="R157" s="279">
        <v>8</v>
      </c>
      <c r="S157" s="279">
        <v>13</v>
      </c>
      <c r="T157" s="279">
        <v>20</v>
      </c>
      <c r="U157" s="279">
        <v>59</v>
      </c>
      <c r="V157" s="279">
        <v>5</v>
      </c>
      <c r="W157" s="279">
        <v>10</v>
      </c>
    </row>
    <row r="158" spans="1:23" ht="72.75" customHeight="1">
      <c r="A158" s="230" t="s">
        <v>209</v>
      </c>
      <c r="B158" s="253" t="s">
        <v>144</v>
      </c>
      <c r="C158" s="229" t="s">
        <v>288</v>
      </c>
      <c r="D158" s="279">
        <v>63</v>
      </c>
      <c r="E158" s="279">
        <v>181</v>
      </c>
      <c r="F158" s="279">
        <v>175</v>
      </c>
      <c r="G158" s="240">
        <v>592</v>
      </c>
      <c r="H158" s="239">
        <v>19</v>
      </c>
      <c r="I158" s="239">
        <v>57</v>
      </c>
      <c r="J158" s="279">
        <v>160</v>
      </c>
      <c r="K158" s="279">
        <v>305</v>
      </c>
      <c r="L158" s="279">
        <v>15</v>
      </c>
      <c r="M158" s="240">
        <v>32</v>
      </c>
      <c r="N158" s="279">
        <v>1</v>
      </c>
      <c r="O158" s="279">
        <v>10</v>
      </c>
      <c r="P158" s="278">
        <v>0</v>
      </c>
      <c r="Q158" s="241">
        <v>0</v>
      </c>
      <c r="R158" s="279">
        <v>11</v>
      </c>
      <c r="S158" s="279">
        <v>57</v>
      </c>
      <c r="T158" s="279">
        <v>8</v>
      </c>
      <c r="U158" s="279">
        <v>45</v>
      </c>
      <c r="V158" s="279">
        <v>2</v>
      </c>
      <c r="W158" s="279">
        <v>11</v>
      </c>
    </row>
    <row r="159" spans="1:23" ht="72.75" customHeight="1">
      <c r="A159" s="230" t="s">
        <v>209</v>
      </c>
      <c r="B159" s="253" t="s">
        <v>332</v>
      </c>
      <c r="C159" s="229" t="s">
        <v>147</v>
      </c>
      <c r="D159" s="279">
        <v>75</v>
      </c>
      <c r="E159" s="279">
        <v>284</v>
      </c>
      <c r="F159" s="279">
        <v>235</v>
      </c>
      <c r="G159" s="240">
        <v>1057</v>
      </c>
      <c r="H159" s="239">
        <v>55</v>
      </c>
      <c r="I159" s="239">
        <v>126</v>
      </c>
      <c r="J159" s="279">
        <v>375</v>
      </c>
      <c r="K159" s="279">
        <v>696</v>
      </c>
      <c r="L159" s="279">
        <v>2</v>
      </c>
      <c r="M159" s="240">
        <v>9</v>
      </c>
      <c r="N159" s="279">
        <v>1</v>
      </c>
      <c r="O159" s="279">
        <v>2</v>
      </c>
      <c r="P159" s="278">
        <v>0</v>
      </c>
      <c r="Q159" s="241">
        <v>1</v>
      </c>
      <c r="R159" s="279">
        <v>16</v>
      </c>
      <c r="S159" s="279">
        <v>137</v>
      </c>
      <c r="T159" s="279">
        <v>29</v>
      </c>
      <c r="U159" s="279">
        <v>119</v>
      </c>
      <c r="V159" s="279">
        <v>2</v>
      </c>
      <c r="W159" s="279">
        <v>14</v>
      </c>
    </row>
    <row r="160" spans="1:23" ht="72.75" customHeight="1">
      <c r="A160" s="230" t="s">
        <v>209</v>
      </c>
      <c r="B160" s="253" t="s">
        <v>332</v>
      </c>
      <c r="C160" s="229" t="s">
        <v>862</v>
      </c>
      <c r="D160" s="279">
        <v>6</v>
      </c>
      <c r="E160" s="279">
        <v>191</v>
      </c>
      <c r="F160" s="279">
        <v>27</v>
      </c>
      <c r="G160" s="240">
        <v>780</v>
      </c>
      <c r="H160" s="239">
        <v>8</v>
      </c>
      <c r="I160" s="239">
        <v>135</v>
      </c>
      <c r="J160" s="279">
        <v>64</v>
      </c>
      <c r="K160" s="279">
        <v>579</v>
      </c>
      <c r="L160" s="279">
        <v>1</v>
      </c>
      <c r="M160" s="240">
        <v>17</v>
      </c>
      <c r="N160" s="279">
        <v>0</v>
      </c>
      <c r="O160" s="279">
        <v>4</v>
      </c>
      <c r="P160" s="278">
        <v>1</v>
      </c>
      <c r="Q160" s="241">
        <v>2</v>
      </c>
      <c r="R160" s="279">
        <v>1</v>
      </c>
      <c r="S160" s="279">
        <v>87</v>
      </c>
      <c r="T160" s="279">
        <v>1</v>
      </c>
      <c r="U160" s="279">
        <v>104</v>
      </c>
      <c r="V160" s="279">
        <v>1</v>
      </c>
      <c r="W160" s="279">
        <v>17</v>
      </c>
    </row>
    <row r="161" spans="1:23" ht="72.75" customHeight="1">
      <c r="A161" s="230" t="s">
        <v>209</v>
      </c>
      <c r="B161" s="286" t="s">
        <v>921</v>
      </c>
      <c r="C161" s="229" t="s">
        <v>27</v>
      </c>
      <c r="D161" s="279">
        <v>187</v>
      </c>
      <c r="E161" s="279">
        <v>119</v>
      </c>
      <c r="F161" s="279">
        <v>720</v>
      </c>
      <c r="G161" s="279">
        <v>546</v>
      </c>
      <c r="H161" s="239">
        <v>245</v>
      </c>
      <c r="I161" s="239">
        <v>157</v>
      </c>
      <c r="J161" s="279">
        <v>2283</v>
      </c>
      <c r="K161" s="279">
        <v>899</v>
      </c>
      <c r="L161" s="279">
        <v>18</v>
      </c>
      <c r="M161" s="240">
        <v>12</v>
      </c>
      <c r="N161" s="279">
        <v>16</v>
      </c>
      <c r="O161" s="279">
        <v>7</v>
      </c>
      <c r="P161" s="278">
        <v>6</v>
      </c>
      <c r="Q161" s="241">
        <v>1</v>
      </c>
      <c r="R161" s="279">
        <v>3</v>
      </c>
      <c r="S161" s="279">
        <v>12</v>
      </c>
      <c r="T161" s="279">
        <v>59</v>
      </c>
      <c r="U161" s="279">
        <v>65</v>
      </c>
      <c r="V161" s="279">
        <v>63</v>
      </c>
      <c r="W161" s="279">
        <v>33</v>
      </c>
    </row>
    <row r="162" spans="1:23" ht="72.75" customHeight="1">
      <c r="A162" s="230" t="s">
        <v>209</v>
      </c>
      <c r="B162" s="253" t="s">
        <v>829</v>
      </c>
      <c r="C162" s="230" t="s">
        <v>928</v>
      </c>
      <c r="D162" s="279">
        <v>35</v>
      </c>
      <c r="E162" s="279">
        <v>37</v>
      </c>
      <c r="F162" s="279">
        <v>126</v>
      </c>
      <c r="G162" s="240">
        <v>147</v>
      </c>
      <c r="H162" s="239">
        <v>0</v>
      </c>
      <c r="I162" s="239">
        <v>0</v>
      </c>
      <c r="J162" s="239">
        <v>0</v>
      </c>
      <c r="K162" s="239">
        <v>0</v>
      </c>
      <c r="L162" s="239">
        <v>6</v>
      </c>
      <c r="M162" s="243">
        <v>5</v>
      </c>
      <c r="N162" s="239">
        <v>1</v>
      </c>
      <c r="O162" s="239">
        <v>2</v>
      </c>
      <c r="P162" s="278">
        <v>1</v>
      </c>
      <c r="Q162" s="241">
        <v>0</v>
      </c>
      <c r="R162" s="279">
        <v>2</v>
      </c>
      <c r="S162" s="279">
        <v>0</v>
      </c>
      <c r="T162" s="279">
        <v>0</v>
      </c>
      <c r="U162" s="279">
        <v>0</v>
      </c>
      <c r="V162" s="239">
        <v>0</v>
      </c>
      <c r="W162" s="239">
        <v>0</v>
      </c>
    </row>
    <row r="163" spans="1:23" ht="72.75" customHeight="1">
      <c r="A163" s="230" t="s">
        <v>209</v>
      </c>
      <c r="B163" s="253" t="s">
        <v>695</v>
      </c>
      <c r="C163" s="229" t="s">
        <v>204</v>
      </c>
      <c r="D163" s="279">
        <v>0</v>
      </c>
      <c r="E163" s="279">
        <v>0</v>
      </c>
      <c r="F163" s="279">
        <v>0</v>
      </c>
      <c r="G163" s="240">
        <v>0</v>
      </c>
      <c r="H163" s="239">
        <v>192</v>
      </c>
      <c r="I163" s="239">
        <v>44</v>
      </c>
      <c r="J163" s="239">
        <v>2039</v>
      </c>
      <c r="K163" s="239">
        <v>193</v>
      </c>
      <c r="L163" s="239">
        <v>0</v>
      </c>
      <c r="M163" s="243">
        <v>0</v>
      </c>
      <c r="N163" s="239">
        <v>0</v>
      </c>
      <c r="O163" s="239">
        <v>0</v>
      </c>
      <c r="P163" s="278">
        <v>0</v>
      </c>
      <c r="Q163" s="241">
        <v>0</v>
      </c>
      <c r="R163" s="244">
        <v>0</v>
      </c>
      <c r="S163" s="244">
        <v>0</v>
      </c>
      <c r="T163" s="279">
        <v>39</v>
      </c>
      <c r="U163" s="279">
        <v>10</v>
      </c>
      <c r="V163" s="281">
        <v>109</v>
      </c>
      <c r="W163" s="281">
        <v>9</v>
      </c>
    </row>
    <row r="164" spans="1:23" ht="72.75" customHeight="1">
      <c r="A164" s="230" t="s">
        <v>209</v>
      </c>
      <c r="B164" s="253" t="s">
        <v>695</v>
      </c>
      <c r="C164" s="229" t="s">
        <v>205</v>
      </c>
      <c r="D164" s="279">
        <v>0</v>
      </c>
      <c r="E164" s="279">
        <v>0</v>
      </c>
      <c r="F164" s="279">
        <v>0</v>
      </c>
      <c r="G164" s="240">
        <v>0</v>
      </c>
      <c r="H164" s="239">
        <v>224</v>
      </c>
      <c r="I164" s="239">
        <v>32</v>
      </c>
      <c r="J164" s="239">
        <v>972</v>
      </c>
      <c r="K164" s="239">
        <v>168</v>
      </c>
      <c r="L164" s="239">
        <v>1</v>
      </c>
      <c r="M164" s="243">
        <v>0</v>
      </c>
      <c r="N164" s="239">
        <v>0</v>
      </c>
      <c r="O164" s="239">
        <v>0</v>
      </c>
      <c r="P164" s="278">
        <v>0</v>
      </c>
      <c r="Q164" s="241">
        <v>0</v>
      </c>
      <c r="R164" s="279">
        <v>0</v>
      </c>
      <c r="S164" s="279">
        <v>0</v>
      </c>
      <c r="T164" s="279">
        <v>7</v>
      </c>
      <c r="U164" s="279">
        <v>5</v>
      </c>
      <c r="V164" s="239">
        <v>75</v>
      </c>
      <c r="W164" s="239">
        <v>19</v>
      </c>
    </row>
    <row r="165" spans="1:23" ht="72.75" customHeight="1">
      <c r="A165" s="230" t="s">
        <v>209</v>
      </c>
      <c r="B165" s="253" t="s">
        <v>695</v>
      </c>
      <c r="C165" s="229" t="s">
        <v>206</v>
      </c>
      <c r="D165" s="279">
        <v>0</v>
      </c>
      <c r="E165" s="279">
        <v>0</v>
      </c>
      <c r="F165" s="279">
        <v>0</v>
      </c>
      <c r="G165" s="240">
        <v>0</v>
      </c>
      <c r="H165" s="239">
        <v>211</v>
      </c>
      <c r="I165" s="239">
        <v>28</v>
      </c>
      <c r="J165" s="239">
        <v>1037</v>
      </c>
      <c r="K165" s="239">
        <v>84</v>
      </c>
      <c r="L165" s="239">
        <v>1</v>
      </c>
      <c r="M165" s="243">
        <v>0</v>
      </c>
      <c r="N165" s="239">
        <v>2</v>
      </c>
      <c r="O165" s="239">
        <v>0</v>
      </c>
      <c r="P165" s="278">
        <v>0</v>
      </c>
      <c r="Q165" s="241">
        <v>0</v>
      </c>
      <c r="R165" s="279">
        <v>0</v>
      </c>
      <c r="S165" s="279">
        <v>0</v>
      </c>
      <c r="T165" s="279">
        <v>16</v>
      </c>
      <c r="U165" s="279">
        <v>8</v>
      </c>
      <c r="V165" s="239">
        <v>66</v>
      </c>
      <c r="W165" s="239">
        <v>4</v>
      </c>
    </row>
    <row r="166" spans="1:23" ht="72.75" customHeight="1">
      <c r="A166" s="230" t="s">
        <v>209</v>
      </c>
      <c r="B166" s="253" t="s">
        <v>695</v>
      </c>
      <c r="C166" s="229" t="s">
        <v>207</v>
      </c>
      <c r="D166" s="279">
        <v>0</v>
      </c>
      <c r="E166" s="279">
        <v>0</v>
      </c>
      <c r="F166" s="279">
        <v>0</v>
      </c>
      <c r="G166" s="240">
        <v>0</v>
      </c>
      <c r="H166" s="239">
        <v>125</v>
      </c>
      <c r="I166" s="239">
        <v>7</v>
      </c>
      <c r="J166" s="239">
        <v>494</v>
      </c>
      <c r="K166" s="239">
        <v>46</v>
      </c>
      <c r="L166" s="239">
        <v>0</v>
      </c>
      <c r="M166" s="243">
        <v>0</v>
      </c>
      <c r="N166" s="239">
        <v>0</v>
      </c>
      <c r="O166" s="239">
        <v>0</v>
      </c>
      <c r="P166" s="278">
        <v>0</v>
      </c>
      <c r="Q166" s="241">
        <v>0</v>
      </c>
      <c r="R166" s="279">
        <v>0</v>
      </c>
      <c r="S166" s="279">
        <v>0</v>
      </c>
      <c r="T166" s="279">
        <v>42</v>
      </c>
      <c r="U166" s="279">
        <v>13</v>
      </c>
      <c r="V166" s="239">
        <v>70</v>
      </c>
      <c r="W166" s="239">
        <v>6</v>
      </c>
    </row>
    <row r="167" spans="1:23" ht="72.75" customHeight="1">
      <c r="A167" s="230" t="s">
        <v>209</v>
      </c>
      <c r="B167" s="253" t="s">
        <v>695</v>
      </c>
      <c r="C167" s="229" t="s">
        <v>156</v>
      </c>
      <c r="D167" s="58">
        <v>0</v>
      </c>
      <c r="E167" s="58">
        <v>0</v>
      </c>
      <c r="F167" s="58">
        <v>0</v>
      </c>
      <c r="G167" s="62">
        <v>0</v>
      </c>
      <c r="H167" s="212">
        <v>240</v>
      </c>
      <c r="I167" s="212">
        <v>136</v>
      </c>
      <c r="J167" s="212">
        <v>765</v>
      </c>
      <c r="K167" s="212">
        <v>640</v>
      </c>
      <c r="L167" s="212">
        <v>0</v>
      </c>
      <c r="M167" s="219">
        <v>0</v>
      </c>
      <c r="N167" s="212">
        <v>3</v>
      </c>
      <c r="O167" s="212">
        <v>0</v>
      </c>
      <c r="P167" s="23">
        <v>0</v>
      </c>
      <c r="Q167" s="24">
        <v>0</v>
      </c>
      <c r="R167" s="58">
        <v>0</v>
      </c>
      <c r="S167" s="58">
        <v>0</v>
      </c>
      <c r="T167" s="25">
        <v>0</v>
      </c>
      <c r="U167" s="25">
        <v>5</v>
      </c>
      <c r="V167" s="212">
        <v>91</v>
      </c>
      <c r="W167" s="212">
        <v>92</v>
      </c>
    </row>
    <row r="168" spans="1:23" ht="72.75" customHeight="1">
      <c r="A168" s="230" t="s">
        <v>665</v>
      </c>
      <c r="B168" s="270" t="s">
        <v>806</v>
      </c>
      <c r="C168" s="194" t="s">
        <v>19</v>
      </c>
      <c r="D168" s="279">
        <v>52</v>
      </c>
      <c r="E168" s="279">
        <v>45</v>
      </c>
      <c r="F168" s="279">
        <v>326</v>
      </c>
      <c r="G168" s="243">
        <v>415</v>
      </c>
      <c r="H168" s="239">
        <v>129</v>
      </c>
      <c r="I168" s="279">
        <v>179</v>
      </c>
      <c r="J168" s="279">
        <v>1490</v>
      </c>
      <c r="K168" s="279">
        <v>1686</v>
      </c>
      <c r="L168" s="279">
        <v>10</v>
      </c>
      <c r="M168" s="240">
        <v>13</v>
      </c>
      <c r="N168" s="279">
        <v>0</v>
      </c>
      <c r="O168" s="278">
        <v>3</v>
      </c>
      <c r="P168" s="278">
        <v>2</v>
      </c>
      <c r="Q168" s="240">
        <v>0</v>
      </c>
      <c r="R168" s="279">
        <v>11</v>
      </c>
      <c r="S168" s="279">
        <v>6</v>
      </c>
      <c r="T168" s="279">
        <v>33</v>
      </c>
      <c r="U168" s="279">
        <v>23</v>
      </c>
      <c r="V168" s="279">
        <v>14</v>
      </c>
      <c r="W168" s="279">
        <v>32</v>
      </c>
    </row>
    <row r="169" spans="1:23" ht="72.75" customHeight="1">
      <c r="A169" s="230" t="s">
        <v>665</v>
      </c>
      <c r="B169" s="270" t="s">
        <v>806</v>
      </c>
      <c r="C169" s="194" t="s">
        <v>838</v>
      </c>
      <c r="D169" s="58">
        <v>44</v>
      </c>
      <c r="E169" s="58">
        <v>68</v>
      </c>
      <c r="F169" s="58">
        <v>239</v>
      </c>
      <c r="G169" s="62">
        <v>570</v>
      </c>
      <c r="H169" s="212">
        <v>109</v>
      </c>
      <c r="I169" s="212">
        <v>223</v>
      </c>
      <c r="J169" s="58">
        <v>912</v>
      </c>
      <c r="K169" s="58">
        <v>1073</v>
      </c>
      <c r="L169" s="58">
        <v>13</v>
      </c>
      <c r="M169" s="62">
        <v>17</v>
      </c>
      <c r="N169" s="58">
        <v>1</v>
      </c>
      <c r="O169" s="58">
        <v>4</v>
      </c>
      <c r="P169" s="23">
        <v>2</v>
      </c>
      <c r="Q169" s="24">
        <v>1</v>
      </c>
      <c r="R169" s="58">
        <v>10</v>
      </c>
      <c r="S169" s="58">
        <v>6</v>
      </c>
      <c r="T169" s="25">
        <v>16</v>
      </c>
      <c r="U169" s="25">
        <v>49</v>
      </c>
      <c r="V169" s="58">
        <v>10</v>
      </c>
      <c r="W169" s="58">
        <v>23</v>
      </c>
    </row>
    <row r="170" spans="1:23" ht="72.75" customHeight="1">
      <c r="A170" s="230" t="s">
        <v>665</v>
      </c>
      <c r="B170" s="270" t="s">
        <v>21</v>
      </c>
      <c r="C170" s="229" t="s">
        <v>22</v>
      </c>
      <c r="D170" s="58">
        <v>215</v>
      </c>
      <c r="E170" s="58">
        <v>503</v>
      </c>
      <c r="F170" s="58">
        <v>810</v>
      </c>
      <c r="G170" s="62">
        <v>2023</v>
      </c>
      <c r="H170" s="212">
        <v>157</v>
      </c>
      <c r="I170" s="212">
        <v>412</v>
      </c>
      <c r="J170" s="58">
        <v>1435</v>
      </c>
      <c r="K170" s="58">
        <v>2175</v>
      </c>
      <c r="L170" s="58">
        <v>61</v>
      </c>
      <c r="M170" s="62">
        <v>141</v>
      </c>
      <c r="N170" s="58">
        <v>4</v>
      </c>
      <c r="O170" s="58">
        <v>9</v>
      </c>
      <c r="P170" s="23">
        <v>37</v>
      </c>
      <c r="Q170" s="24">
        <v>44</v>
      </c>
      <c r="R170" s="58">
        <v>33</v>
      </c>
      <c r="S170" s="58">
        <v>48</v>
      </c>
      <c r="T170" s="25">
        <v>95</v>
      </c>
      <c r="U170" s="25">
        <v>301</v>
      </c>
      <c r="V170" s="58">
        <v>38</v>
      </c>
      <c r="W170" s="58">
        <v>90</v>
      </c>
    </row>
    <row r="171" spans="1:23" ht="72.75" customHeight="1">
      <c r="A171" s="230" t="s">
        <v>665</v>
      </c>
      <c r="B171" s="253" t="s">
        <v>828</v>
      </c>
      <c r="C171" s="229" t="s">
        <v>38</v>
      </c>
      <c r="D171" s="58">
        <v>247</v>
      </c>
      <c r="E171" s="58">
        <v>194</v>
      </c>
      <c r="F171" s="58">
        <v>967</v>
      </c>
      <c r="G171" s="62">
        <v>720</v>
      </c>
      <c r="H171" s="212">
        <v>262</v>
      </c>
      <c r="I171" s="212">
        <v>140</v>
      </c>
      <c r="J171" s="58">
        <v>3755</v>
      </c>
      <c r="K171" s="58">
        <v>2269</v>
      </c>
      <c r="L171" s="58">
        <v>39</v>
      </c>
      <c r="M171" s="62">
        <v>24</v>
      </c>
      <c r="N171" s="58">
        <v>5</v>
      </c>
      <c r="O171" s="58">
        <v>3</v>
      </c>
      <c r="P171" s="23">
        <v>1</v>
      </c>
      <c r="Q171" s="24">
        <v>1</v>
      </c>
      <c r="R171" s="58">
        <v>16</v>
      </c>
      <c r="S171" s="58">
        <v>23</v>
      </c>
      <c r="T171" s="25">
        <v>77</v>
      </c>
      <c r="U171" s="25">
        <v>72</v>
      </c>
      <c r="V171" s="58">
        <v>75</v>
      </c>
      <c r="W171" s="58">
        <v>32</v>
      </c>
    </row>
    <row r="172" spans="1:23" ht="72.75" customHeight="1">
      <c r="A172" s="230" t="s">
        <v>665</v>
      </c>
      <c r="B172" s="253" t="s">
        <v>828</v>
      </c>
      <c r="C172" s="229" t="s">
        <v>839</v>
      </c>
      <c r="D172" s="58">
        <v>95</v>
      </c>
      <c r="E172" s="58">
        <v>190</v>
      </c>
      <c r="F172" s="58">
        <v>349</v>
      </c>
      <c r="G172" s="62">
        <v>682</v>
      </c>
      <c r="H172" s="212">
        <v>74</v>
      </c>
      <c r="I172" s="212">
        <v>130</v>
      </c>
      <c r="J172" s="220">
        <v>1476</v>
      </c>
      <c r="K172" s="220">
        <v>1547</v>
      </c>
      <c r="L172" s="58">
        <v>17</v>
      </c>
      <c r="M172" s="62">
        <v>29</v>
      </c>
      <c r="N172" s="58">
        <v>3</v>
      </c>
      <c r="O172" s="58">
        <v>3</v>
      </c>
      <c r="P172" s="23">
        <v>1</v>
      </c>
      <c r="Q172" s="24">
        <v>6</v>
      </c>
      <c r="R172" s="58">
        <v>12</v>
      </c>
      <c r="S172" s="58">
        <v>35</v>
      </c>
      <c r="T172" s="25">
        <v>51</v>
      </c>
      <c r="U172" s="25">
        <v>103</v>
      </c>
      <c r="V172" s="58">
        <v>10</v>
      </c>
      <c r="W172" s="58">
        <v>26</v>
      </c>
    </row>
    <row r="173" spans="1:23" ht="72.75" customHeight="1">
      <c r="A173" s="230" t="s">
        <v>665</v>
      </c>
      <c r="B173" s="253" t="s">
        <v>828</v>
      </c>
      <c r="C173" s="230" t="s">
        <v>840</v>
      </c>
      <c r="D173" s="58">
        <v>17</v>
      </c>
      <c r="E173" s="58">
        <v>25</v>
      </c>
      <c r="F173" s="58">
        <v>98</v>
      </c>
      <c r="G173" s="58">
        <v>250</v>
      </c>
      <c r="H173" s="212">
        <v>51</v>
      </c>
      <c r="I173" s="212">
        <v>138</v>
      </c>
      <c r="J173" s="58">
        <v>167</v>
      </c>
      <c r="K173" s="58">
        <v>414</v>
      </c>
      <c r="L173" s="58">
        <v>5</v>
      </c>
      <c r="M173" s="62">
        <v>14</v>
      </c>
      <c r="N173" s="58">
        <v>3</v>
      </c>
      <c r="O173" s="58">
        <v>3</v>
      </c>
      <c r="P173" s="23">
        <v>1</v>
      </c>
      <c r="Q173" s="24">
        <v>1</v>
      </c>
      <c r="R173" s="58">
        <v>0</v>
      </c>
      <c r="S173" s="58">
        <v>1</v>
      </c>
      <c r="T173" s="25">
        <v>3</v>
      </c>
      <c r="U173" s="25">
        <v>16</v>
      </c>
      <c r="V173" s="58">
        <v>12</v>
      </c>
      <c r="W173" s="58">
        <v>45</v>
      </c>
    </row>
    <row r="174" spans="1:23" ht="72.75" customHeight="1">
      <c r="A174" s="230" t="s">
        <v>665</v>
      </c>
      <c r="B174" s="253" t="s">
        <v>828</v>
      </c>
      <c r="C174" s="229" t="s">
        <v>841</v>
      </c>
      <c r="D174" s="58">
        <v>45</v>
      </c>
      <c r="E174" s="58">
        <v>150</v>
      </c>
      <c r="F174" s="58">
        <v>176</v>
      </c>
      <c r="G174" s="58">
        <v>490</v>
      </c>
      <c r="H174" s="212">
        <v>48</v>
      </c>
      <c r="I174" s="212">
        <v>88</v>
      </c>
      <c r="J174" s="58">
        <v>174</v>
      </c>
      <c r="K174" s="62">
        <v>353</v>
      </c>
      <c r="L174" s="58">
        <v>11</v>
      </c>
      <c r="M174" s="62">
        <v>42</v>
      </c>
      <c r="N174" s="58">
        <v>0</v>
      </c>
      <c r="O174" s="58">
        <v>2</v>
      </c>
      <c r="P174" s="23">
        <v>0</v>
      </c>
      <c r="Q174" s="24">
        <v>2</v>
      </c>
      <c r="R174" s="58">
        <v>5</v>
      </c>
      <c r="S174" s="58">
        <v>13</v>
      </c>
      <c r="T174" s="25">
        <v>16</v>
      </c>
      <c r="U174" s="25">
        <v>68</v>
      </c>
      <c r="V174" s="58">
        <v>11</v>
      </c>
      <c r="W174" s="58">
        <v>11</v>
      </c>
    </row>
    <row r="175" spans="1:23" ht="72.75" customHeight="1">
      <c r="A175" s="230" t="s">
        <v>665</v>
      </c>
      <c r="B175" s="253" t="s">
        <v>828</v>
      </c>
      <c r="C175" s="229" t="s">
        <v>457</v>
      </c>
      <c r="D175" s="58">
        <v>26</v>
      </c>
      <c r="E175" s="58">
        <v>93</v>
      </c>
      <c r="F175" s="58">
        <v>96</v>
      </c>
      <c r="G175" s="58">
        <v>361</v>
      </c>
      <c r="H175" s="212">
        <v>0</v>
      </c>
      <c r="I175" s="212">
        <v>0</v>
      </c>
      <c r="J175" s="58">
        <v>0</v>
      </c>
      <c r="K175" s="58">
        <v>0</v>
      </c>
      <c r="L175" s="58">
        <v>2</v>
      </c>
      <c r="M175" s="62">
        <v>8</v>
      </c>
      <c r="N175" s="58">
        <v>0</v>
      </c>
      <c r="O175" s="58">
        <v>0</v>
      </c>
      <c r="P175" s="23">
        <v>1</v>
      </c>
      <c r="Q175" s="24">
        <v>2</v>
      </c>
      <c r="R175" s="58">
        <v>3</v>
      </c>
      <c r="S175" s="58">
        <v>14</v>
      </c>
      <c r="T175" s="25">
        <v>0</v>
      </c>
      <c r="U175" s="25">
        <v>0</v>
      </c>
      <c r="V175" s="58">
        <v>0</v>
      </c>
      <c r="W175" s="58">
        <v>0</v>
      </c>
    </row>
    <row r="176" spans="1:23" ht="72.75" customHeight="1">
      <c r="A176" s="230" t="s">
        <v>665</v>
      </c>
      <c r="B176" s="253" t="s">
        <v>828</v>
      </c>
      <c r="C176" s="229" t="s">
        <v>842</v>
      </c>
      <c r="D176" s="58">
        <v>69</v>
      </c>
      <c r="E176" s="58">
        <v>65</v>
      </c>
      <c r="F176" s="58">
        <v>297</v>
      </c>
      <c r="G176" s="58">
        <v>229</v>
      </c>
      <c r="H176" s="212">
        <v>0</v>
      </c>
      <c r="I176" s="212">
        <v>0</v>
      </c>
      <c r="J176" s="58">
        <v>0</v>
      </c>
      <c r="K176" s="58">
        <v>0</v>
      </c>
      <c r="L176" s="58">
        <v>9</v>
      </c>
      <c r="M176" s="62">
        <v>3</v>
      </c>
      <c r="N176" s="58">
        <v>0</v>
      </c>
      <c r="O176" s="58">
        <v>0</v>
      </c>
      <c r="P176" s="23">
        <v>1</v>
      </c>
      <c r="Q176" s="24">
        <v>1</v>
      </c>
      <c r="R176" s="58">
        <v>7</v>
      </c>
      <c r="S176" s="58">
        <v>18</v>
      </c>
      <c r="T176" s="25">
        <v>0</v>
      </c>
      <c r="U176" s="25">
        <v>0</v>
      </c>
      <c r="V176" s="58">
        <v>0</v>
      </c>
      <c r="W176" s="58">
        <v>0</v>
      </c>
    </row>
    <row r="177" spans="1:23" ht="72.75" customHeight="1">
      <c r="A177" s="230" t="s">
        <v>665</v>
      </c>
      <c r="B177" s="253" t="s">
        <v>828</v>
      </c>
      <c r="C177" s="229" t="s">
        <v>843</v>
      </c>
      <c r="D177" s="279">
        <v>80</v>
      </c>
      <c r="E177" s="279">
        <v>78</v>
      </c>
      <c r="F177" s="279">
        <v>372</v>
      </c>
      <c r="G177" s="240">
        <v>336</v>
      </c>
      <c r="H177" s="239">
        <v>0</v>
      </c>
      <c r="I177" s="239">
        <v>0</v>
      </c>
      <c r="J177" s="279">
        <v>0</v>
      </c>
      <c r="K177" s="279">
        <v>0</v>
      </c>
      <c r="L177" s="279">
        <v>7</v>
      </c>
      <c r="M177" s="240">
        <v>6</v>
      </c>
      <c r="N177" s="279">
        <v>3</v>
      </c>
      <c r="O177" s="279">
        <v>1</v>
      </c>
      <c r="P177" s="278">
        <v>0</v>
      </c>
      <c r="Q177" s="241">
        <v>0</v>
      </c>
      <c r="R177" s="279">
        <v>11</v>
      </c>
      <c r="S177" s="279">
        <v>15</v>
      </c>
      <c r="T177" s="279">
        <v>0</v>
      </c>
      <c r="U177" s="240">
        <v>0</v>
      </c>
      <c r="V177" s="279">
        <v>0</v>
      </c>
      <c r="W177" s="279">
        <v>0</v>
      </c>
    </row>
    <row r="178" spans="1:23" ht="72.75" customHeight="1">
      <c r="A178" s="230" t="s">
        <v>665</v>
      </c>
      <c r="B178" s="253" t="s">
        <v>828</v>
      </c>
      <c r="C178" s="229" t="s">
        <v>844</v>
      </c>
      <c r="D178" s="279">
        <v>40</v>
      </c>
      <c r="E178" s="279">
        <v>55</v>
      </c>
      <c r="F178" s="279">
        <v>136</v>
      </c>
      <c r="G178" s="240">
        <v>226</v>
      </c>
      <c r="H178" s="239">
        <v>0</v>
      </c>
      <c r="I178" s="239">
        <v>0</v>
      </c>
      <c r="J178" s="279">
        <v>0</v>
      </c>
      <c r="K178" s="279">
        <v>0</v>
      </c>
      <c r="L178" s="279">
        <v>7</v>
      </c>
      <c r="M178" s="240">
        <v>4</v>
      </c>
      <c r="N178" s="279">
        <v>0</v>
      </c>
      <c r="O178" s="279">
        <v>2</v>
      </c>
      <c r="P178" s="278">
        <v>0</v>
      </c>
      <c r="Q178" s="241">
        <v>0</v>
      </c>
      <c r="R178" s="279">
        <v>0</v>
      </c>
      <c r="S178" s="279">
        <v>1</v>
      </c>
      <c r="T178" s="279">
        <v>0</v>
      </c>
      <c r="U178" s="240">
        <v>0</v>
      </c>
      <c r="V178" s="279">
        <v>0</v>
      </c>
      <c r="W178" s="279">
        <v>0</v>
      </c>
    </row>
    <row r="179" spans="1:23" ht="72.75" customHeight="1">
      <c r="A179" s="230" t="s">
        <v>918</v>
      </c>
      <c r="B179" s="253" t="s">
        <v>55</v>
      </c>
      <c r="C179" s="229" t="s">
        <v>55</v>
      </c>
      <c r="D179" s="134">
        <v>115</v>
      </c>
      <c r="E179" s="134">
        <v>85</v>
      </c>
      <c r="F179" s="134">
        <v>640</v>
      </c>
      <c r="G179" s="204">
        <v>377</v>
      </c>
      <c r="H179" s="134">
        <v>247</v>
      </c>
      <c r="I179" s="134">
        <v>99</v>
      </c>
      <c r="J179" s="134">
        <v>923</v>
      </c>
      <c r="K179" s="134">
        <v>330</v>
      </c>
      <c r="L179" s="134">
        <v>5</v>
      </c>
      <c r="M179" s="204">
        <v>8</v>
      </c>
      <c r="N179" s="134">
        <v>0</v>
      </c>
      <c r="O179" s="134">
        <v>1</v>
      </c>
      <c r="P179" s="134">
        <v>3</v>
      </c>
      <c r="Q179" s="204">
        <v>1</v>
      </c>
      <c r="R179" s="134">
        <v>7</v>
      </c>
      <c r="S179" s="134">
        <v>4</v>
      </c>
      <c r="T179" s="134">
        <v>68</v>
      </c>
      <c r="U179" s="204">
        <v>47</v>
      </c>
      <c r="V179" s="134">
        <v>26</v>
      </c>
      <c r="W179" s="134">
        <v>21</v>
      </c>
    </row>
    <row r="180" spans="1:23" ht="72.75" customHeight="1">
      <c r="A180" s="230" t="s">
        <v>918</v>
      </c>
      <c r="B180" s="253" t="s">
        <v>54</v>
      </c>
      <c r="C180" s="229" t="s">
        <v>54</v>
      </c>
      <c r="D180" s="134">
        <v>157</v>
      </c>
      <c r="E180" s="134">
        <v>49</v>
      </c>
      <c r="F180" s="134">
        <v>915</v>
      </c>
      <c r="G180" s="204">
        <v>219</v>
      </c>
      <c r="H180" s="134">
        <v>232</v>
      </c>
      <c r="I180" s="134">
        <v>52</v>
      </c>
      <c r="J180" s="134">
        <v>2400</v>
      </c>
      <c r="K180" s="134">
        <v>122</v>
      </c>
      <c r="L180" s="134">
        <v>0</v>
      </c>
      <c r="M180" s="204">
        <v>0</v>
      </c>
      <c r="N180" s="134">
        <v>36</v>
      </c>
      <c r="O180" s="134">
        <v>10</v>
      </c>
      <c r="P180" s="134">
        <v>5</v>
      </c>
      <c r="Q180" s="204">
        <v>0</v>
      </c>
      <c r="R180" s="134">
        <v>16</v>
      </c>
      <c r="S180" s="134">
        <v>2</v>
      </c>
      <c r="T180" s="134">
        <v>92</v>
      </c>
      <c r="U180" s="204">
        <v>15</v>
      </c>
      <c r="V180" s="134">
        <v>28</v>
      </c>
      <c r="W180" s="134">
        <v>5</v>
      </c>
    </row>
    <row r="181" spans="1:23" ht="72.75" customHeight="1">
      <c r="A181" s="230" t="s">
        <v>918</v>
      </c>
      <c r="B181" s="230" t="s">
        <v>689</v>
      </c>
      <c r="C181" s="230" t="s">
        <v>689</v>
      </c>
      <c r="D181" s="134">
        <v>300</v>
      </c>
      <c r="E181" s="134">
        <v>110</v>
      </c>
      <c r="F181" s="134">
        <v>1647</v>
      </c>
      <c r="G181" s="204">
        <v>489</v>
      </c>
      <c r="H181" s="134">
        <v>511</v>
      </c>
      <c r="I181" s="134">
        <v>85</v>
      </c>
      <c r="J181" s="289">
        <v>2086</v>
      </c>
      <c r="K181" s="289">
        <v>265</v>
      </c>
      <c r="L181" s="134">
        <v>2</v>
      </c>
      <c r="M181" s="204">
        <v>3</v>
      </c>
      <c r="N181" s="134">
        <v>0</v>
      </c>
      <c r="O181" s="134">
        <v>0</v>
      </c>
      <c r="P181" s="134">
        <v>0</v>
      </c>
      <c r="Q181" s="204">
        <v>0</v>
      </c>
      <c r="R181" s="134">
        <v>16</v>
      </c>
      <c r="S181" s="134">
        <v>5</v>
      </c>
      <c r="T181" s="134">
        <v>154</v>
      </c>
      <c r="U181" s="204">
        <v>45</v>
      </c>
      <c r="V181" s="134">
        <v>51</v>
      </c>
      <c r="W181" s="134">
        <v>14</v>
      </c>
    </row>
    <row r="182" spans="1:23" ht="72.75" customHeight="1">
      <c r="A182" s="230" t="s">
        <v>918</v>
      </c>
      <c r="B182" s="253" t="s">
        <v>690</v>
      </c>
      <c r="C182" s="229" t="s">
        <v>690</v>
      </c>
      <c r="D182" s="134">
        <v>32</v>
      </c>
      <c r="E182" s="134">
        <v>111</v>
      </c>
      <c r="F182" s="134">
        <v>229</v>
      </c>
      <c r="G182" s="204">
        <v>667</v>
      </c>
      <c r="H182" s="134">
        <v>109</v>
      </c>
      <c r="I182" s="134">
        <v>206</v>
      </c>
      <c r="J182" s="134">
        <v>303</v>
      </c>
      <c r="K182" s="134">
        <v>285</v>
      </c>
      <c r="L182" s="134">
        <v>1</v>
      </c>
      <c r="M182" s="204">
        <v>0</v>
      </c>
      <c r="N182" s="134">
        <v>1</v>
      </c>
      <c r="O182" s="134">
        <v>7</v>
      </c>
      <c r="P182" s="134">
        <v>0</v>
      </c>
      <c r="Q182" s="134">
        <v>0</v>
      </c>
      <c r="R182" s="134">
        <v>0</v>
      </c>
      <c r="S182" s="134">
        <v>1</v>
      </c>
      <c r="T182" s="134">
        <v>33</v>
      </c>
      <c r="U182" s="204">
        <v>103</v>
      </c>
      <c r="V182" s="134">
        <v>14</v>
      </c>
      <c r="W182" s="134">
        <v>29</v>
      </c>
    </row>
    <row r="183" spans="1:23" ht="72.75" customHeight="1">
      <c r="A183" s="230" t="s">
        <v>918</v>
      </c>
      <c r="B183" s="253" t="s">
        <v>56</v>
      </c>
      <c r="C183" s="229" t="s">
        <v>56</v>
      </c>
      <c r="D183" s="134">
        <v>80</v>
      </c>
      <c r="E183" s="134">
        <v>96</v>
      </c>
      <c r="F183" s="134">
        <v>410</v>
      </c>
      <c r="G183" s="204">
        <v>470</v>
      </c>
      <c r="H183" s="134">
        <v>101</v>
      </c>
      <c r="I183" s="134">
        <v>49</v>
      </c>
      <c r="J183" s="134">
        <v>567</v>
      </c>
      <c r="K183" s="134">
        <v>216</v>
      </c>
      <c r="L183" s="134">
        <v>4</v>
      </c>
      <c r="M183" s="204">
        <v>5</v>
      </c>
      <c r="N183" s="134">
        <v>3</v>
      </c>
      <c r="O183" s="134">
        <v>1</v>
      </c>
      <c r="P183" s="134">
        <v>0</v>
      </c>
      <c r="Q183" s="134">
        <v>0</v>
      </c>
      <c r="R183" s="134">
        <v>18</v>
      </c>
      <c r="S183" s="134">
        <v>18</v>
      </c>
      <c r="T183" s="134">
        <v>51</v>
      </c>
      <c r="U183" s="204">
        <v>59</v>
      </c>
      <c r="V183" s="134">
        <v>11</v>
      </c>
      <c r="W183" s="134">
        <v>1</v>
      </c>
    </row>
    <row r="184" spans="1:23" ht="72.75" customHeight="1">
      <c r="A184" s="230" t="s">
        <v>918</v>
      </c>
      <c r="B184" s="230" t="s">
        <v>691</v>
      </c>
      <c r="C184" s="230" t="s">
        <v>691</v>
      </c>
      <c r="D184" s="134">
        <v>43</v>
      </c>
      <c r="E184" s="134">
        <v>24</v>
      </c>
      <c r="F184" s="134">
        <v>322</v>
      </c>
      <c r="G184" s="204">
        <v>221</v>
      </c>
      <c r="H184" s="134">
        <v>130</v>
      </c>
      <c r="I184" s="134">
        <v>79</v>
      </c>
      <c r="J184" s="134">
        <v>529</v>
      </c>
      <c r="K184" s="134">
        <v>158</v>
      </c>
      <c r="L184" s="134">
        <v>3</v>
      </c>
      <c r="M184" s="204">
        <v>2</v>
      </c>
      <c r="N184" s="134">
        <v>2</v>
      </c>
      <c r="O184" s="134">
        <v>0</v>
      </c>
      <c r="P184" s="134">
        <v>0</v>
      </c>
      <c r="Q184" s="134">
        <v>0</v>
      </c>
      <c r="R184" s="134">
        <v>4</v>
      </c>
      <c r="S184" s="134">
        <v>1</v>
      </c>
      <c r="T184" s="134">
        <v>42</v>
      </c>
      <c r="U184" s="204">
        <v>19</v>
      </c>
      <c r="V184" s="134">
        <v>13</v>
      </c>
      <c r="W184" s="134">
        <v>6</v>
      </c>
    </row>
    <row r="185" spans="1:23" ht="72.75" customHeight="1">
      <c r="A185" s="230" t="s">
        <v>918</v>
      </c>
      <c r="B185" s="230" t="s">
        <v>692</v>
      </c>
      <c r="C185" s="229" t="s">
        <v>694</v>
      </c>
      <c r="D185" s="134">
        <v>75</v>
      </c>
      <c r="E185" s="134">
        <v>29</v>
      </c>
      <c r="F185" s="134">
        <v>325</v>
      </c>
      <c r="G185" s="204">
        <v>151</v>
      </c>
      <c r="H185" s="134">
        <v>98</v>
      </c>
      <c r="I185" s="134">
        <v>21</v>
      </c>
      <c r="J185" s="134">
        <v>341</v>
      </c>
      <c r="K185" s="134">
        <v>77</v>
      </c>
      <c r="L185" s="134">
        <v>1</v>
      </c>
      <c r="M185" s="204">
        <v>0</v>
      </c>
      <c r="N185" s="134">
        <v>1</v>
      </c>
      <c r="O185" s="134">
        <v>0</v>
      </c>
      <c r="P185" s="134">
        <v>0</v>
      </c>
      <c r="Q185" s="134">
        <v>0</v>
      </c>
      <c r="R185" s="134">
        <v>5</v>
      </c>
      <c r="S185" s="134">
        <v>8</v>
      </c>
      <c r="T185" s="134">
        <v>34</v>
      </c>
      <c r="U185" s="204">
        <v>20</v>
      </c>
      <c r="V185" s="134">
        <v>8</v>
      </c>
      <c r="W185" s="134">
        <v>1</v>
      </c>
    </row>
    <row r="186" spans="1:23" ht="72.75" customHeight="1">
      <c r="A186" s="230" t="s">
        <v>918</v>
      </c>
      <c r="B186" s="230" t="s">
        <v>693</v>
      </c>
      <c r="C186" s="229" t="s">
        <v>693</v>
      </c>
      <c r="D186" s="134">
        <v>90</v>
      </c>
      <c r="E186" s="134">
        <v>22</v>
      </c>
      <c r="F186" s="134">
        <v>454</v>
      </c>
      <c r="G186" s="204">
        <v>136</v>
      </c>
      <c r="H186" s="134">
        <v>176</v>
      </c>
      <c r="I186" s="134">
        <v>31</v>
      </c>
      <c r="J186" s="134">
        <v>544</v>
      </c>
      <c r="K186" s="134">
        <v>90</v>
      </c>
      <c r="L186" s="134">
        <v>0</v>
      </c>
      <c r="M186" s="204">
        <v>0</v>
      </c>
      <c r="N186" s="134">
        <v>1</v>
      </c>
      <c r="O186" s="134">
        <v>0</v>
      </c>
      <c r="P186" s="134">
        <v>0</v>
      </c>
      <c r="Q186" s="134">
        <v>0</v>
      </c>
      <c r="R186" s="134">
        <v>10</v>
      </c>
      <c r="S186" s="134">
        <v>0</v>
      </c>
      <c r="T186" s="134">
        <v>60</v>
      </c>
      <c r="U186" s="204">
        <v>15</v>
      </c>
      <c r="V186" s="134">
        <v>15</v>
      </c>
      <c r="W186" s="134">
        <v>5</v>
      </c>
    </row>
    <row r="187" spans="1:23" ht="72.75" customHeight="1">
      <c r="A187" s="230" t="s">
        <v>918</v>
      </c>
      <c r="B187" s="230" t="s">
        <v>238</v>
      </c>
      <c r="C187" s="229" t="s">
        <v>238</v>
      </c>
      <c r="D187" s="134">
        <v>90</v>
      </c>
      <c r="E187" s="134">
        <v>60</v>
      </c>
      <c r="F187" s="134">
        <v>487</v>
      </c>
      <c r="G187" s="204">
        <v>318</v>
      </c>
      <c r="H187" s="134">
        <v>233</v>
      </c>
      <c r="I187" s="134">
        <v>114</v>
      </c>
      <c r="J187" s="134">
        <v>598</v>
      </c>
      <c r="K187" s="134">
        <v>249</v>
      </c>
      <c r="L187" s="134"/>
      <c r="M187" s="204">
        <v>0</v>
      </c>
      <c r="N187" s="134">
        <v>0</v>
      </c>
      <c r="O187" s="134">
        <v>0</v>
      </c>
      <c r="P187" s="134">
        <v>0</v>
      </c>
      <c r="Q187" s="134">
        <v>0</v>
      </c>
      <c r="R187" s="134">
        <v>7</v>
      </c>
      <c r="S187" s="134">
        <v>5</v>
      </c>
      <c r="T187" s="134">
        <v>31</v>
      </c>
      <c r="U187" s="204">
        <v>22</v>
      </c>
      <c r="V187" s="134">
        <v>26</v>
      </c>
      <c r="W187" s="134">
        <v>17</v>
      </c>
    </row>
    <row r="188" spans="1:23" ht="72.75" customHeight="1">
      <c r="A188" s="229" t="s">
        <v>664</v>
      </c>
      <c r="B188" s="230" t="s">
        <v>824</v>
      </c>
      <c r="C188" s="229" t="s">
        <v>721</v>
      </c>
      <c r="D188" s="134">
        <v>112</v>
      </c>
      <c r="E188" s="134">
        <v>172</v>
      </c>
      <c r="F188" s="134">
        <v>330</v>
      </c>
      <c r="G188" s="134">
        <v>586</v>
      </c>
      <c r="H188" s="134">
        <v>133</v>
      </c>
      <c r="I188" s="134">
        <v>314</v>
      </c>
      <c r="J188" s="134">
        <v>175</v>
      </c>
      <c r="K188" s="134">
        <v>374</v>
      </c>
      <c r="L188" s="134">
        <v>119</v>
      </c>
      <c r="M188" s="134">
        <v>232</v>
      </c>
      <c r="N188" s="134">
        <v>322</v>
      </c>
      <c r="O188" s="134">
        <v>615</v>
      </c>
      <c r="P188" s="134">
        <v>482</v>
      </c>
      <c r="Q188" s="134">
        <v>994</v>
      </c>
      <c r="R188" s="134">
        <v>3</v>
      </c>
      <c r="S188" s="134">
        <v>7</v>
      </c>
      <c r="T188" s="134">
        <v>55</v>
      </c>
      <c r="U188" s="134">
        <v>140</v>
      </c>
      <c r="V188" s="134">
        <v>52</v>
      </c>
      <c r="W188" s="134">
        <v>112</v>
      </c>
    </row>
    <row r="189" spans="1:23" ht="72.75" customHeight="1">
      <c r="A189" s="229" t="s">
        <v>664</v>
      </c>
      <c r="B189" s="230" t="s">
        <v>824</v>
      </c>
      <c r="C189" s="229" t="s">
        <v>722</v>
      </c>
      <c r="D189" s="134">
        <v>79</v>
      </c>
      <c r="E189" s="134">
        <v>111</v>
      </c>
      <c r="F189" s="134">
        <v>257</v>
      </c>
      <c r="G189" s="134">
        <v>361</v>
      </c>
      <c r="H189" s="134">
        <v>95</v>
      </c>
      <c r="I189" s="134">
        <v>148</v>
      </c>
      <c r="J189" s="134">
        <v>200</v>
      </c>
      <c r="K189" s="134">
        <v>354</v>
      </c>
      <c r="L189" s="134">
        <v>167</v>
      </c>
      <c r="M189" s="134">
        <v>289</v>
      </c>
      <c r="N189" s="134">
        <v>348</v>
      </c>
      <c r="O189" s="134">
        <v>606</v>
      </c>
      <c r="P189" s="134">
        <v>458</v>
      </c>
      <c r="Q189" s="134">
        <v>713</v>
      </c>
      <c r="R189" s="134">
        <v>1</v>
      </c>
      <c r="S189" s="134">
        <v>4</v>
      </c>
      <c r="T189" s="134">
        <v>39</v>
      </c>
      <c r="U189" s="134">
        <v>63</v>
      </c>
      <c r="V189" s="134">
        <v>55</v>
      </c>
      <c r="W189" s="134">
        <v>99</v>
      </c>
    </row>
    <row r="190" spans="1:23" ht="72.75" customHeight="1">
      <c r="A190" s="229" t="s">
        <v>664</v>
      </c>
      <c r="B190" s="230" t="s">
        <v>824</v>
      </c>
      <c r="C190" s="229" t="s">
        <v>723</v>
      </c>
      <c r="D190" s="134">
        <v>18</v>
      </c>
      <c r="E190" s="134">
        <v>51</v>
      </c>
      <c r="F190" s="134">
        <v>43</v>
      </c>
      <c r="G190" s="134">
        <v>146</v>
      </c>
      <c r="H190" s="134">
        <v>5</v>
      </c>
      <c r="I190" s="134">
        <v>32</v>
      </c>
      <c r="J190" s="134">
        <v>8</v>
      </c>
      <c r="K190" s="134">
        <v>43</v>
      </c>
      <c r="L190" s="134">
        <v>10</v>
      </c>
      <c r="M190" s="134">
        <v>32</v>
      </c>
      <c r="N190" s="134">
        <v>13</v>
      </c>
      <c r="O190" s="134">
        <v>85</v>
      </c>
      <c r="P190" s="134">
        <v>35</v>
      </c>
      <c r="Q190" s="134">
        <v>154</v>
      </c>
      <c r="R190" s="134">
        <v>1</v>
      </c>
      <c r="S190" s="134">
        <v>6</v>
      </c>
      <c r="T190" s="134">
        <v>1</v>
      </c>
      <c r="U190" s="134">
        <v>11</v>
      </c>
      <c r="V190" s="134">
        <v>4</v>
      </c>
      <c r="W190" s="134">
        <v>13</v>
      </c>
    </row>
    <row r="191" spans="1:23" ht="72.75" customHeight="1">
      <c r="A191" s="229" t="s">
        <v>664</v>
      </c>
      <c r="B191" s="230" t="s">
        <v>825</v>
      </c>
      <c r="C191" s="229" t="s">
        <v>33</v>
      </c>
      <c r="D191" s="134">
        <v>320</v>
      </c>
      <c r="E191" s="134">
        <v>72</v>
      </c>
      <c r="F191" s="134">
        <v>828</v>
      </c>
      <c r="G191" s="134">
        <v>161</v>
      </c>
      <c r="H191" s="134">
        <v>206</v>
      </c>
      <c r="I191" s="134">
        <v>38</v>
      </c>
      <c r="J191" s="134">
        <v>420</v>
      </c>
      <c r="K191" s="134">
        <v>88</v>
      </c>
      <c r="L191" s="134">
        <v>465</v>
      </c>
      <c r="M191" s="134">
        <v>98</v>
      </c>
      <c r="N191" s="134">
        <v>929</v>
      </c>
      <c r="O191" s="134">
        <v>222</v>
      </c>
      <c r="P191" s="134">
        <v>1273</v>
      </c>
      <c r="Q191" s="134">
        <v>246</v>
      </c>
      <c r="R191" s="134">
        <v>10</v>
      </c>
      <c r="S191" s="134">
        <v>1</v>
      </c>
      <c r="T191" s="134">
        <v>46</v>
      </c>
      <c r="U191" s="134">
        <v>5</v>
      </c>
      <c r="V191" s="134">
        <v>73</v>
      </c>
      <c r="W191" s="134">
        <v>14</v>
      </c>
    </row>
    <row r="192" spans="1:23" ht="72.75" customHeight="1">
      <c r="A192" s="229" t="s">
        <v>664</v>
      </c>
      <c r="B192" s="230" t="s">
        <v>825</v>
      </c>
      <c r="C192" s="229" t="s">
        <v>724</v>
      </c>
      <c r="D192" s="134">
        <v>50</v>
      </c>
      <c r="E192" s="134">
        <v>23</v>
      </c>
      <c r="F192" s="134">
        <v>109</v>
      </c>
      <c r="G192" s="134">
        <v>65</v>
      </c>
      <c r="H192" s="134">
        <v>25</v>
      </c>
      <c r="I192" s="134">
        <v>16</v>
      </c>
      <c r="J192" s="134">
        <v>100</v>
      </c>
      <c r="K192" s="134">
        <v>42</v>
      </c>
      <c r="L192" s="134">
        <v>76</v>
      </c>
      <c r="M192" s="134">
        <v>48</v>
      </c>
      <c r="N192" s="134">
        <v>165</v>
      </c>
      <c r="O192" s="134">
        <v>94</v>
      </c>
      <c r="P192" s="134">
        <v>182</v>
      </c>
      <c r="Q192" s="134">
        <v>86</v>
      </c>
      <c r="R192" s="134">
        <v>2</v>
      </c>
      <c r="S192" s="134">
        <v>1</v>
      </c>
      <c r="T192" s="134">
        <v>2</v>
      </c>
      <c r="U192" s="134">
        <v>2</v>
      </c>
      <c r="V192" s="134">
        <v>12</v>
      </c>
      <c r="W192" s="134">
        <v>5</v>
      </c>
    </row>
    <row r="193" spans="1:23" ht="72.75" customHeight="1">
      <c r="A193" s="229" t="s">
        <v>664</v>
      </c>
      <c r="B193" s="230" t="s">
        <v>826</v>
      </c>
      <c r="C193" s="229" t="s">
        <v>835</v>
      </c>
      <c r="D193" s="134">
        <v>350</v>
      </c>
      <c r="E193" s="134">
        <v>371</v>
      </c>
      <c r="F193" s="134">
        <v>1136</v>
      </c>
      <c r="G193" s="134">
        <v>1218</v>
      </c>
      <c r="H193" s="134">
        <v>397</v>
      </c>
      <c r="I193" s="134">
        <v>483</v>
      </c>
      <c r="J193" s="134">
        <v>358</v>
      </c>
      <c r="K193" s="134">
        <v>391</v>
      </c>
      <c r="L193" s="134">
        <v>417</v>
      </c>
      <c r="M193" s="134">
        <v>384</v>
      </c>
      <c r="N193" s="134">
        <v>819</v>
      </c>
      <c r="O193" s="134">
        <v>812</v>
      </c>
      <c r="P193" s="134">
        <v>1235</v>
      </c>
      <c r="Q193" s="134">
        <v>1336</v>
      </c>
      <c r="R193" s="134">
        <v>28</v>
      </c>
      <c r="S193" s="134">
        <v>26</v>
      </c>
      <c r="T193" s="134">
        <v>188</v>
      </c>
      <c r="U193" s="134">
        <v>225</v>
      </c>
      <c r="V193" s="134">
        <v>116</v>
      </c>
      <c r="W193" s="134">
        <v>126</v>
      </c>
    </row>
    <row r="194" spans="1:23" ht="72.75" customHeight="1">
      <c r="A194" s="229" t="s">
        <v>664</v>
      </c>
      <c r="B194" s="230" t="s">
        <v>826</v>
      </c>
      <c r="C194" s="229" t="s">
        <v>836</v>
      </c>
      <c r="D194" s="134">
        <v>204</v>
      </c>
      <c r="E194" s="134">
        <v>384</v>
      </c>
      <c r="F194" s="134">
        <v>657</v>
      </c>
      <c r="G194" s="134">
        <v>1163</v>
      </c>
      <c r="H194" s="134">
        <v>124</v>
      </c>
      <c r="I194" s="134">
        <v>333</v>
      </c>
      <c r="J194" s="134">
        <v>0</v>
      </c>
      <c r="K194" s="134">
        <v>0</v>
      </c>
      <c r="L194" s="134">
        <v>26</v>
      </c>
      <c r="M194" s="134">
        <v>41</v>
      </c>
      <c r="N194" s="134">
        <v>146</v>
      </c>
      <c r="O194" s="134">
        <v>201</v>
      </c>
      <c r="P194" s="134">
        <v>161</v>
      </c>
      <c r="Q194" s="134">
        <v>284</v>
      </c>
      <c r="R194" s="134">
        <v>10</v>
      </c>
      <c r="S194" s="134">
        <v>20</v>
      </c>
      <c r="T194" s="134">
        <v>51</v>
      </c>
      <c r="U194" s="134">
        <v>176</v>
      </c>
      <c r="V194" s="134">
        <v>0</v>
      </c>
      <c r="W194" s="134">
        <v>0</v>
      </c>
    </row>
    <row r="195" spans="1:23" ht="72.75" customHeight="1">
      <c r="A195" s="229" t="s">
        <v>664</v>
      </c>
      <c r="B195" s="230" t="s">
        <v>826</v>
      </c>
      <c r="C195" s="229" t="s">
        <v>268</v>
      </c>
      <c r="D195" s="134">
        <v>125</v>
      </c>
      <c r="E195" s="134">
        <v>136</v>
      </c>
      <c r="F195" s="134">
        <v>322</v>
      </c>
      <c r="G195" s="134">
        <v>415</v>
      </c>
      <c r="H195" s="134">
        <v>63</v>
      </c>
      <c r="I195" s="134">
        <v>82</v>
      </c>
      <c r="J195" s="134">
        <v>0</v>
      </c>
      <c r="K195" s="134">
        <v>0</v>
      </c>
      <c r="L195" s="134">
        <v>24</v>
      </c>
      <c r="M195" s="134">
        <v>19</v>
      </c>
      <c r="N195" s="134">
        <v>60</v>
      </c>
      <c r="O195" s="134">
        <v>103</v>
      </c>
      <c r="P195" s="134">
        <v>111</v>
      </c>
      <c r="Q195" s="134">
        <v>118</v>
      </c>
      <c r="R195" s="134">
        <v>2</v>
      </c>
      <c r="S195" s="134">
        <v>5</v>
      </c>
      <c r="T195" s="134">
        <v>19</v>
      </c>
      <c r="U195" s="134">
        <v>26</v>
      </c>
      <c r="V195" s="134">
        <v>0</v>
      </c>
      <c r="W195" s="134">
        <v>0</v>
      </c>
    </row>
    <row r="196" spans="1:23" ht="72.75" customHeight="1">
      <c r="A196" s="229" t="s">
        <v>664</v>
      </c>
      <c r="B196" s="230" t="s">
        <v>827</v>
      </c>
      <c r="C196" s="275" t="s">
        <v>837</v>
      </c>
      <c r="D196" s="134">
        <v>58</v>
      </c>
      <c r="E196" s="134">
        <v>42</v>
      </c>
      <c r="F196" s="134">
        <v>57</v>
      </c>
      <c r="G196" s="134">
        <v>41</v>
      </c>
      <c r="H196" s="134">
        <v>0</v>
      </c>
      <c r="I196" s="134">
        <v>0</v>
      </c>
      <c r="J196" s="134">
        <v>0</v>
      </c>
      <c r="K196" s="134">
        <v>0</v>
      </c>
      <c r="L196" s="134">
        <v>13</v>
      </c>
      <c r="M196" s="134">
        <v>10</v>
      </c>
      <c r="N196" s="134">
        <v>0</v>
      </c>
      <c r="O196" s="134">
        <v>0</v>
      </c>
      <c r="P196" s="134">
        <v>33</v>
      </c>
      <c r="Q196" s="134">
        <v>32</v>
      </c>
      <c r="R196" s="134">
        <v>0</v>
      </c>
      <c r="S196" s="134">
        <v>0</v>
      </c>
      <c r="T196" s="134">
        <v>0</v>
      </c>
      <c r="U196" s="134">
        <v>0</v>
      </c>
      <c r="V196" s="134">
        <v>0</v>
      </c>
      <c r="W196" s="134">
        <v>0</v>
      </c>
    </row>
    <row r="197" spans="1:23" ht="72.75" customHeight="1">
      <c r="A197" s="230" t="s">
        <v>293</v>
      </c>
      <c r="B197" s="230" t="s">
        <v>365</v>
      </c>
      <c r="C197" s="229" t="s">
        <v>725</v>
      </c>
      <c r="D197" s="134">
        <v>54</v>
      </c>
      <c r="E197" s="134">
        <v>68</v>
      </c>
      <c r="F197" s="134">
        <v>259</v>
      </c>
      <c r="G197" s="134">
        <v>345</v>
      </c>
      <c r="H197" s="134">
        <v>134</v>
      </c>
      <c r="I197" s="134">
        <v>141</v>
      </c>
      <c r="J197" s="134">
        <v>543</v>
      </c>
      <c r="K197" s="134">
        <v>386</v>
      </c>
      <c r="L197" s="134">
        <v>7</v>
      </c>
      <c r="M197" s="134">
        <v>11</v>
      </c>
      <c r="N197" s="136">
        <v>3</v>
      </c>
      <c r="O197" s="136">
        <v>1</v>
      </c>
      <c r="P197" s="136">
        <v>0</v>
      </c>
      <c r="Q197" s="136">
        <v>0</v>
      </c>
      <c r="R197" s="134">
        <v>1</v>
      </c>
      <c r="S197" s="134">
        <v>1</v>
      </c>
      <c r="T197" s="134">
        <v>21</v>
      </c>
      <c r="U197" s="134">
        <v>28</v>
      </c>
      <c r="V197" s="134">
        <v>31</v>
      </c>
      <c r="W197" s="134">
        <v>37</v>
      </c>
    </row>
    <row r="198" spans="1:23" ht="72.75" customHeight="1">
      <c r="A198" s="230" t="s">
        <v>293</v>
      </c>
      <c r="B198" s="230" t="s">
        <v>696</v>
      </c>
      <c r="C198" s="229" t="s">
        <v>726</v>
      </c>
      <c r="D198" s="279">
        <v>108</v>
      </c>
      <c r="E198" s="279">
        <v>110</v>
      </c>
      <c r="F198" s="279">
        <v>506</v>
      </c>
      <c r="G198" s="279">
        <v>432</v>
      </c>
      <c r="H198" s="279">
        <v>250</v>
      </c>
      <c r="I198" s="279">
        <v>222</v>
      </c>
      <c r="J198" s="279">
        <v>735</v>
      </c>
      <c r="K198" s="279">
        <v>784</v>
      </c>
      <c r="L198" s="279">
        <v>11</v>
      </c>
      <c r="M198" s="279">
        <v>20</v>
      </c>
      <c r="N198" s="278">
        <v>3</v>
      </c>
      <c r="O198" s="278">
        <v>0</v>
      </c>
      <c r="P198" s="278">
        <v>0</v>
      </c>
      <c r="Q198" s="278">
        <v>0</v>
      </c>
      <c r="R198" s="279">
        <v>0</v>
      </c>
      <c r="S198" s="279">
        <v>1</v>
      </c>
      <c r="T198" s="279">
        <v>18</v>
      </c>
      <c r="U198" s="279">
        <v>30</v>
      </c>
      <c r="V198" s="279">
        <v>41</v>
      </c>
      <c r="W198" s="279">
        <v>57</v>
      </c>
    </row>
    <row r="199" spans="1:23" ht="72.75" customHeight="1">
      <c r="A199" s="230" t="s">
        <v>293</v>
      </c>
      <c r="B199" s="230" t="s">
        <v>696</v>
      </c>
      <c r="C199" s="229" t="s">
        <v>727</v>
      </c>
      <c r="D199" s="279">
        <v>30</v>
      </c>
      <c r="E199" s="279">
        <v>25</v>
      </c>
      <c r="F199" s="279">
        <v>266</v>
      </c>
      <c r="G199" s="279">
        <v>174</v>
      </c>
      <c r="H199" s="279">
        <v>184</v>
      </c>
      <c r="I199" s="279">
        <v>165</v>
      </c>
      <c r="J199" s="279">
        <v>205</v>
      </c>
      <c r="K199" s="279">
        <v>162</v>
      </c>
      <c r="L199" s="279">
        <v>10</v>
      </c>
      <c r="M199" s="279">
        <v>8</v>
      </c>
      <c r="N199" s="278">
        <v>3</v>
      </c>
      <c r="O199" s="278">
        <v>0</v>
      </c>
      <c r="P199" s="278">
        <v>0</v>
      </c>
      <c r="Q199" s="278">
        <v>0</v>
      </c>
      <c r="R199" s="279">
        <v>2</v>
      </c>
      <c r="S199" s="279">
        <v>0</v>
      </c>
      <c r="T199" s="279">
        <v>12</v>
      </c>
      <c r="U199" s="279">
        <v>22</v>
      </c>
      <c r="V199" s="279">
        <v>9</v>
      </c>
      <c r="W199" s="279">
        <v>19</v>
      </c>
    </row>
    <row r="200" spans="1:23" ht="72.75" customHeight="1">
      <c r="A200" s="230" t="s">
        <v>293</v>
      </c>
      <c r="B200" s="230" t="s">
        <v>696</v>
      </c>
      <c r="C200" s="229" t="s">
        <v>728</v>
      </c>
      <c r="D200" s="279">
        <v>98</v>
      </c>
      <c r="E200" s="279">
        <v>103</v>
      </c>
      <c r="F200" s="279">
        <v>403</v>
      </c>
      <c r="G200" s="279">
        <v>387</v>
      </c>
      <c r="H200" s="279">
        <v>185</v>
      </c>
      <c r="I200" s="279">
        <v>160</v>
      </c>
      <c r="J200" s="279">
        <v>1267</v>
      </c>
      <c r="K200" s="279">
        <v>1220</v>
      </c>
      <c r="L200" s="279">
        <v>16</v>
      </c>
      <c r="M200" s="279">
        <v>17</v>
      </c>
      <c r="N200" s="278">
        <v>4</v>
      </c>
      <c r="O200" s="278">
        <v>3</v>
      </c>
      <c r="P200" s="278">
        <v>0</v>
      </c>
      <c r="Q200" s="278">
        <v>1</v>
      </c>
      <c r="R200" s="279">
        <v>0</v>
      </c>
      <c r="S200" s="279">
        <v>0</v>
      </c>
      <c r="T200" s="279">
        <v>12</v>
      </c>
      <c r="U200" s="279">
        <v>29</v>
      </c>
      <c r="V200" s="279">
        <v>48</v>
      </c>
      <c r="W200" s="279">
        <v>55</v>
      </c>
    </row>
    <row r="201" spans="1:23" ht="72.75" customHeight="1">
      <c r="A201" s="230" t="s">
        <v>293</v>
      </c>
      <c r="B201" s="230" t="s">
        <v>144</v>
      </c>
      <c r="C201" s="229" t="s">
        <v>729</v>
      </c>
      <c r="D201" s="279">
        <v>29</v>
      </c>
      <c r="E201" s="279">
        <v>155</v>
      </c>
      <c r="F201" s="279">
        <v>57</v>
      </c>
      <c r="G201" s="279">
        <v>449</v>
      </c>
      <c r="H201" s="279">
        <v>27</v>
      </c>
      <c r="I201" s="279">
        <v>130</v>
      </c>
      <c r="J201" s="279">
        <v>74</v>
      </c>
      <c r="K201" s="279">
        <v>297</v>
      </c>
      <c r="L201" s="279">
        <v>18</v>
      </c>
      <c r="M201" s="279">
        <v>34</v>
      </c>
      <c r="N201" s="278">
        <v>1</v>
      </c>
      <c r="O201" s="278">
        <v>1</v>
      </c>
      <c r="P201" s="278">
        <v>0</v>
      </c>
      <c r="Q201" s="278">
        <v>0</v>
      </c>
      <c r="R201" s="279">
        <v>1</v>
      </c>
      <c r="S201" s="279">
        <v>9</v>
      </c>
      <c r="T201" s="279">
        <v>9</v>
      </c>
      <c r="U201" s="279">
        <v>55</v>
      </c>
      <c r="V201" s="279">
        <v>6</v>
      </c>
      <c r="W201" s="279">
        <v>64</v>
      </c>
    </row>
    <row r="202" spans="1:23" ht="72.75" customHeight="1">
      <c r="A202" s="230" t="s">
        <v>293</v>
      </c>
      <c r="B202" s="230" t="s">
        <v>144</v>
      </c>
      <c r="C202" s="229" t="s">
        <v>288</v>
      </c>
      <c r="D202" s="279">
        <v>26</v>
      </c>
      <c r="E202" s="279">
        <v>155</v>
      </c>
      <c r="F202" s="279">
        <v>83</v>
      </c>
      <c r="G202" s="279">
        <v>407</v>
      </c>
      <c r="H202" s="279">
        <v>23</v>
      </c>
      <c r="I202" s="279">
        <v>110</v>
      </c>
      <c r="J202" s="279">
        <v>35</v>
      </c>
      <c r="K202" s="279">
        <v>137</v>
      </c>
      <c r="L202" s="279">
        <v>6</v>
      </c>
      <c r="M202" s="279">
        <v>56</v>
      </c>
      <c r="N202" s="278">
        <v>1</v>
      </c>
      <c r="O202" s="278">
        <v>5</v>
      </c>
      <c r="P202" s="278">
        <v>0</v>
      </c>
      <c r="Q202" s="278">
        <v>0</v>
      </c>
      <c r="R202" s="279">
        <v>11</v>
      </c>
      <c r="S202" s="279">
        <v>50</v>
      </c>
      <c r="T202" s="279">
        <v>22</v>
      </c>
      <c r="U202" s="279">
        <v>72</v>
      </c>
      <c r="V202" s="279">
        <v>12</v>
      </c>
      <c r="W202" s="279">
        <v>30</v>
      </c>
    </row>
    <row r="203" spans="1:23" ht="72.75" customHeight="1">
      <c r="A203" s="230" t="s">
        <v>293</v>
      </c>
      <c r="B203" s="230" t="s">
        <v>144</v>
      </c>
      <c r="C203" s="229" t="s">
        <v>730</v>
      </c>
      <c r="D203" s="279">
        <v>31</v>
      </c>
      <c r="E203" s="279">
        <v>119</v>
      </c>
      <c r="F203" s="279">
        <v>91</v>
      </c>
      <c r="G203" s="279">
        <v>273</v>
      </c>
      <c r="H203" s="279">
        <v>27</v>
      </c>
      <c r="I203" s="279">
        <v>106</v>
      </c>
      <c r="J203" s="279">
        <v>133</v>
      </c>
      <c r="K203" s="279">
        <v>409</v>
      </c>
      <c r="L203" s="279">
        <v>16</v>
      </c>
      <c r="M203" s="279">
        <v>50</v>
      </c>
      <c r="N203" s="278">
        <v>2</v>
      </c>
      <c r="O203" s="278">
        <v>0</v>
      </c>
      <c r="P203" s="278">
        <v>0</v>
      </c>
      <c r="Q203" s="278">
        <v>0</v>
      </c>
      <c r="R203" s="279">
        <v>0</v>
      </c>
      <c r="S203" s="279">
        <v>1</v>
      </c>
      <c r="T203" s="279">
        <v>6</v>
      </c>
      <c r="U203" s="279">
        <v>27</v>
      </c>
      <c r="V203" s="279">
        <v>8</v>
      </c>
      <c r="W203" s="279">
        <v>12</v>
      </c>
    </row>
    <row r="204" spans="1:23" ht="72.75" customHeight="1">
      <c r="A204" s="230" t="s">
        <v>293</v>
      </c>
      <c r="B204" s="230" t="s">
        <v>270</v>
      </c>
      <c r="C204" s="229" t="s">
        <v>731</v>
      </c>
      <c r="D204" s="279">
        <v>103</v>
      </c>
      <c r="E204" s="279">
        <v>8</v>
      </c>
      <c r="F204" s="279">
        <v>434</v>
      </c>
      <c r="G204" s="279">
        <v>50</v>
      </c>
      <c r="H204" s="279">
        <v>439</v>
      </c>
      <c r="I204" s="279">
        <v>79</v>
      </c>
      <c r="J204" s="279">
        <v>1637</v>
      </c>
      <c r="K204" s="279">
        <v>313</v>
      </c>
      <c r="L204" s="279">
        <v>53</v>
      </c>
      <c r="M204" s="279">
        <v>7</v>
      </c>
      <c r="N204" s="278">
        <v>9</v>
      </c>
      <c r="O204" s="278">
        <v>1</v>
      </c>
      <c r="P204" s="278">
        <v>1</v>
      </c>
      <c r="Q204" s="278">
        <v>0</v>
      </c>
      <c r="R204" s="279">
        <v>2</v>
      </c>
      <c r="S204" s="279">
        <v>0</v>
      </c>
      <c r="T204" s="279">
        <v>20</v>
      </c>
      <c r="U204" s="279">
        <v>11</v>
      </c>
      <c r="V204" s="279">
        <v>71</v>
      </c>
      <c r="W204" s="279">
        <v>16</v>
      </c>
    </row>
    <row r="205" spans="1:23" ht="72.75" customHeight="1">
      <c r="A205" s="230" t="s">
        <v>293</v>
      </c>
      <c r="B205" s="230" t="s">
        <v>270</v>
      </c>
      <c r="C205" s="229" t="s">
        <v>732</v>
      </c>
      <c r="D205" s="279">
        <v>92</v>
      </c>
      <c r="E205" s="279">
        <v>21</v>
      </c>
      <c r="F205" s="279">
        <v>277</v>
      </c>
      <c r="G205" s="279">
        <v>64</v>
      </c>
      <c r="H205" s="279">
        <v>181</v>
      </c>
      <c r="I205" s="279">
        <v>48</v>
      </c>
      <c r="J205" s="279">
        <v>849</v>
      </c>
      <c r="K205" s="279">
        <v>106</v>
      </c>
      <c r="L205" s="279">
        <v>24</v>
      </c>
      <c r="M205" s="279">
        <v>6</v>
      </c>
      <c r="N205" s="278">
        <v>9</v>
      </c>
      <c r="O205" s="278">
        <v>0</v>
      </c>
      <c r="P205" s="278">
        <v>2</v>
      </c>
      <c r="Q205" s="278">
        <v>0</v>
      </c>
      <c r="R205" s="279">
        <v>2</v>
      </c>
      <c r="S205" s="279">
        <v>0</v>
      </c>
      <c r="T205" s="279">
        <v>7</v>
      </c>
      <c r="U205" s="279">
        <v>4</v>
      </c>
      <c r="V205" s="279">
        <v>56</v>
      </c>
      <c r="W205" s="279">
        <v>7</v>
      </c>
    </row>
    <row r="206" spans="1:23" ht="72.75" customHeight="1">
      <c r="A206" s="230" t="s">
        <v>293</v>
      </c>
      <c r="B206" s="230" t="s">
        <v>270</v>
      </c>
      <c r="C206" s="229" t="s">
        <v>733</v>
      </c>
      <c r="D206" s="279">
        <v>146</v>
      </c>
      <c r="E206" s="279">
        <v>28</v>
      </c>
      <c r="F206" s="279">
        <v>487</v>
      </c>
      <c r="G206" s="279">
        <v>81</v>
      </c>
      <c r="H206" s="279">
        <v>271</v>
      </c>
      <c r="I206" s="279">
        <v>85</v>
      </c>
      <c r="J206" s="279">
        <v>1003</v>
      </c>
      <c r="K206" s="279">
        <v>251</v>
      </c>
      <c r="L206" s="279">
        <v>46</v>
      </c>
      <c r="M206" s="279">
        <v>17</v>
      </c>
      <c r="N206" s="278">
        <v>8</v>
      </c>
      <c r="O206" s="278">
        <v>1</v>
      </c>
      <c r="P206" s="278">
        <v>0</v>
      </c>
      <c r="Q206" s="278">
        <v>0</v>
      </c>
      <c r="R206" s="279">
        <v>2</v>
      </c>
      <c r="S206" s="279">
        <v>0</v>
      </c>
      <c r="T206" s="279">
        <v>6</v>
      </c>
      <c r="U206" s="279">
        <v>11</v>
      </c>
      <c r="V206" s="279">
        <v>49</v>
      </c>
      <c r="W206" s="279">
        <v>30</v>
      </c>
    </row>
    <row r="207" spans="1:23" ht="72.75" customHeight="1">
      <c r="A207" s="230" t="s">
        <v>293</v>
      </c>
      <c r="B207" s="230" t="s">
        <v>697</v>
      </c>
      <c r="C207" s="229" t="s">
        <v>734</v>
      </c>
      <c r="D207" s="279">
        <v>39</v>
      </c>
      <c r="E207" s="279">
        <v>9</v>
      </c>
      <c r="F207" s="279">
        <v>262</v>
      </c>
      <c r="G207" s="279">
        <v>73</v>
      </c>
      <c r="H207" s="279">
        <v>148</v>
      </c>
      <c r="I207" s="279">
        <v>47</v>
      </c>
      <c r="J207" s="279">
        <v>862</v>
      </c>
      <c r="K207" s="279">
        <v>233</v>
      </c>
      <c r="L207" s="279">
        <v>15</v>
      </c>
      <c r="M207" s="279">
        <v>6</v>
      </c>
      <c r="N207" s="278">
        <v>33</v>
      </c>
      <c r="O207" s="278">
        <v>6</v>
      </c>
      <c r="P207" s="278">
        <v>0</v>
      </c>
      <c r="Q207" s="278">
        <v>0</v>
      </c>
      <c r="R207" s="279">
        <v>0</v>
      </c>
      <c r="S207" s="279">
        <v>0</v>
      </c>
      <c r="T207" s="279">
        <v>3</v>
      </c>
      <c r="U207" s="279">
        <v>1</v>
      </c>
      <c r="V207" s="279">
        <v>16</v>
      </c>
      <c r="W207" s="279">
        <v>4</v>
      </c>
    </row>
    <row r="208" spans="1:23" ht="72.75" customHeight="1">
      <c r="A208" s="230" t="s">
        <v>241</v>
      </c>
      <c r="B208" s="230" t="s">
        <v>830</v>
      </c>
      <c r="C208" s="229" t="s">
        <v>243</v>
      </c>
      <c r="D208" s="134">
        <v>75</v>
      </c>
      <c r="E208" s="134">
        <v>133</v>
      </c>
      <c r="F208" s="134">
        <v>272</v>
      </c>
      <c r="G208" s="134">
        <v>480</v>
      </c>
      <c r="H208" s="134">
        <v>111</v>
      </c>
      <c r="I208" s="134">
        <v>128</v>
      </c>
      <c r="J208" s="134">
        <v>107</v>
      </c>
      <c r="K208" s="134">
        <v>144</v>
      </c>
      <c r="L208" s="134">
        <v>24</v>
      </c>
      <c r="M208" s="136">
        <v>38</v>
      </c>
      <c r="N208" s="136">
        <v>8</v>
      </c>
      <c r="O208" s="136">
        <v>12</v>
      </c>
      <c r="P208" s="136">
        <v>0</v>
      </c>
      <c r="Q208" s="136">
        <v>0</v>
      </c>
      <c r="R208" s="136">
        <v>1</v>
      </c>
      <c r="S208" s="136">
        <v>10</v>
      </c>
      <c r="T208" s="136">
        <v>15</v>
      </c>
      <c r="U208" s="136">
        <v>24</v>
      </c>
      <c r="V208" s="136">
        <v>12</v>
      </c>
      <c r="W208" s="136">
        <v>18</v>
      </c>
    </row>
    <row r="209" spans="1:23" ht="72.75" customHeight="1">
      <c r="A209" s="230" t="s">
        <v>241</v>
      </c>
      <c r="B209" s="230" t="s">
        <v>38</v>
      </c>
      <c r="C209" s="229" t="s">
        <v>244</v>
      </c>
      <c r="D209" s="134">
        <v>70</v>
      </c>
      <c r="E209" s="134">
        <v>57</v>
      </c>
      <c r="F209" s="134">
        <v>196</v>
      </c>
      <c r="G209" s="134">
        <v>158</v>
      </c>
      <c r="H209" s="134">
        <v>0</v>
      </c>
      <c r="I209" s="134">
        <v>0</v>
      </c>
      <c r="J209" s="134">
        <v>0</v>
      </c>
      <c r="K209" s="134">
        <v>0</v>
      </c>
      <c r="L209" s="134">
        <v>28</v>
      </c>
      <c r="M209" s="136">
        <v>21</v>
      </c>
      <c r="N209" s="136">
        <v>0</v>
      </c>
      <c r="O209" s="136">
        <v>0</v>
      </c>
      <c r="P209" s="136">
        <v>0</v>
      </c>
      <c r="Q209" s="136">
        <v>0</v>
      </c>
      <c r="R209" s="136">
        <v>5</v>
      </c>
      <c r="S209" s="136">
        <v>5</v>
      </c>
      <c r="T209" s="136">
        <v>0</v>
      </c>
      <c r="U209" s="136">
        <v>0</v>
      </c>
      <c r="V209" s="136">
        <v>0</v>
      </c>
      <c r="W209" s="136">
        <v>0</v>
      </c>
    </row>
    <row r="210" spans="1:23" ht="72.75" customHeight="1">
      <c r="A210" s="230" t="s">
        <v>241</v>
      </c>
      <c r="B210" s="230" t="s">
        <v>245</v>
      </c>
      <c r="C210" s="229" t="s">
        <v>245</v>
      </c>
      <c r="D210" s="136">
        <v>15</v>
      </c>
      <c r="E210" s="136">
        <v>3</v>
      </c>
      <c r="F210" s="136">
        <v>115</v>
      </c>
      <c r="G210" s="136">
        <v>159</v>
      </c>
      <c r="H210" s="136">
        <v>80</v>
      </c>
      <c r="I210" s="136">
        <v>53</v>
      </c>
      <c r="J210" s="136">
        <v>322</v>
      </c>
      <c r="K210" s="136">
        <v>443</v>
      </c>
      <c r="L210" s="136">
        <v>8</v>
      </c>
      <c r="M210" s="136">
        <v>3</v>
      </c>
      <c r="N210" s="136">
        <v>8</v>
      </c>
      <c r="O210" s="136">
        <v>2</v>
      </c>
      <c r="P210" s="136">
        <v>1</v>
      </c>
      <c r="Q210" s="136">
        <v>1</v>
      </c>
      <c r="R210" s="136">
        <v>0</v>
      </c>
      <c r="S210" s="136">
        <v>0</v>
      </c>
      <c r="T210" s="136">
        <v>1</v>
      </c>
      <c r="U210" s="136">
        <v>1</v>
      </c>
      <c r="V210" s="136">
        <v>5</v>
      </c>
      <c r="W210" s="136">
        <v>9</v>
      </c>
    </row>
    <row r="211" spans="1:23" ht="72.75" customHeight="1">
      <c r="A211" s="230" t="s">
        <v>241</v>
      </c>
      <c r="B211" s="230" t="s">
        <v>245</v>
      </c>
      <c r="C211" s="229" t="s">
        <v>246</v>
      </c>
      <c r="D211" s="134">
        <v>26</v>
      </c>
      <c r="E211" s="134">
        <v>49</v>
      </c>
      <c r="F211" s="134">
        <v>108</v>
      </c>
      <c r="G211" s="134">
        <v>263</v>
      </c>
      <c r="H211" s="134">
        <v>55</v>
      </c>
      <c r="I211" s="134">
        <v>106</v>
      </c>
      <c r="J211" s="134">
        <v>129</v>
      </c>
      <c r="K211" s="134">
        <v>183</v>
      </c>
      <c r="L211" s="134">
        <v>11</v>
      </c>
      <c r="M211" s="134">
        <v>33</v>
      </c>
      <c r="N211" s="134">
        <v>1</v>
      </c>
      <c r="O211" s="134">
        <v>4</v>
      </c>
      <c r="P211" s="134">
        <v>0</v>
      </c>
      <c r="Q211" s="134">
        <v>0</v>
      </c>
      <c r="R211" s="134">
        <v>1</v>
      </c>
      <c r="S211" s="134">
        <v>4</v>
      </c>
      <c r="T211" s="134">
        <v>3</v>
      </c>
      <c r="U211" s="134">
        <v>21</v>
      </c>
      <c r="V211" s="134">
        <v>6</v>
      </c>
      <c r="W211" s="134">
        <v>24</v>
      </c>
    </row>
    <row r="212" spans="1:23" ht="72.75" customHeight="1">
      <c r="A212" s="230" t="s">
        <v>241</v>
      </c>
      <c r="B212" s="230" t="s">
        <v>247</v>
      </c>
      <c r="C212" s="229" t="s">
        <v>248</v>
      </c>
      <c r="D212" s="134">
        <v>0</v>
      </c>
      <c r="E212" s="134">
        <v>0</v>
      </c>
      <c r="F212" s="134">
        <v>0</v>
      </c>
      <c r="G212" s="134">
        <v>0</v>
      </c>
      <c r="H212" s="134">
        <v>231</v>
      </c>
      <c r="I212" s="134">
        <v>66</v>
      </c>
      <c r="J212" s="134">
        <v>274</v>
      </c>
      <c r="K212" s="134">
        <v>84</v>
      </c>
      <c r="L212" s="134">
        <v>5</v>
      </c>
      <c r="M212" s="136">
        <v>3</v>
      </c>
      <c r="N212" s="136">
        <v>0</v>
      </c>
      <c r="O212" s="136">
        <v>0</v>
      </c>
      <c r="P212" s="136">
        <v>0</v>
      </c>
      <c r="Q212" s="136">
        <v>0</v>
      </c>
      <c r="R212" s="136">
        <v>1</v>
      </c>
      <c r="S212" s="136">
        <v>0</v>
      </c>
      <c r="T212" s="136">
        <v>5</v>
      </c>
      <c r="U212" s="136">
        <v>2</v>
      </c>
      <c r="V212" s="136">
        <v>18</v>
      </c>
      <c r="W212" s="136">
        <v>2</v>
      </c>
    </row>
    <row r="213" spans="1:23" ht="72.75" customHeight="1">
      <c r="A213" s="230" t="s">
        <v>241</v>
      </c>
      <c r="B213" s="230" t="s">
        <v>249</v>
      </c>
      <c r="C213" s="229" t="s">
        <v>250</v>
      </c>
      <c r="D213" s="134">
        <v>23</v>
      </c>
      <c r="E213" s="134">
        <v>92</v>
      </c>
      <c r="F213" s="134">
        <v>85</v>
      </c>
      <c r="G213" s="134">
        <v>352</v>
      </c>
      <c r="H213" s="134">
        <v>18</v>
      </c>
      <c r="I213" s="134">
        <v>98</v>
      </c>
      <c r="J213" s="134">
        <v>48</v>
      </c>
      <c r="K213" s="134">
        <v>242</v>
      </c>
      <c r="L213" s="134">
        <v>0</v>
      </c>
      <c r="M213" s="136">
        <v>2</v>
      </c>
      <c r="N213" s="136">
        <v>0</v>
      </c>
      <c r="O213" s="136">
        <v>0</v>
      </c>
      <c r="P213" s="136">
        <v>0</v>
      </c>
      <c r="Q213" s="136">
        <v>0</v>
      </c>
      <c r="R213" s="136">
        <v>1</v>
      </c>
      <c r="S213" s="136">
        <v>6</v>
      </c>
      <c r="T213" s="136">
        <v>11</v>
      </c>
      <c r="U213" s="136">
        <v>81</v>
      </c>
      <c r="V213" s="136">
        <v>2</v>
      </c>
      <c r="W213" s="136">
        <v>12</v>
      </c>
    </row>
    <row r="214" spans="1:23" ht="72.75" customHeight="1">
      <c r="A214" s="230" t="s">
        <v>241</v>
      </c>
      <c r="B214" s="230" t="s">
        <v>38</v>
      </c>
      <c r="C214" s="229" t="s">
        <v>251</v>
      </c>
      <c r="D214" s="134">
        <v>0</v>
      </c>
      <c r="E214" s="134">
        <v>0</v>
      </c>
      <c r="F214" s="134">
        <v>7</v>
      </c>
      <c r="G214" s="134">
        <v>1</v>
      </c>
      <c r="H214" s="134">
        <v>294</v>
      </c>
      <c r="I214" s="134">
        <v>118</v>
      </c>
      <c r="J214" s="134">
        <v>387</v>
      </c>
      <c r="K214" s="134">
        <v>274</v>
      </c>
      <c r="L214" s="134">
        <v>4</v>
      </c>
      <c r="M214" s="136">
        <v>2</v>
      </c>
      <c r="N214" s="136">
        <v>0</v>
      </c>
      <c r="O214" s="136">
        <v>0</v>
      </c>
      <c r="P214" s="136">
        <v>0</v>
      </c>
      <c r="Q214" s="136">
        <v>0</v>
      </c>
      <c r="R214" s="134">
        <v>0</v>
      </c>
      <c r="S214" s="134">
        <v>0</v>
      </c>
      <c r="T214" s="134">
        <v>11</v>
      </c>
      <c r="U214" s="134">
        <v>11</v>
      </c>
      <c r="V214" s="134">
        <v>26</v>
      </c>
      <c r="W214" s="134">
        <v>27</v>
      </c>
    </row>
    <row r="215" spans="1:23" ht="72.75" customHeight="1">
      <c r="A215" s="230" t="s">
        <v>241</v>
      </c>
      <c r="B215" s="230" t="s">
        <v>249</v>
      </c>
      <c r="C215" s="229" t="s">
        <v>252</v>
      </c>
      <c r="D215" s="134">
        <v>10</v>
      </c>
      <c r="E215" s="134">
        <v>8</v>
      </c>
      <c r="F215" s="134">
        <v>115</v>
      </c>
      <c r="G215" s="134">
        <v>197</v>
      </c>
      <c r="H215" s="134">
        <v>73</v>
      </c>
      <c r="I215" s="134">
        <v>144</v>
      </c>
      <c r="J215" s="134">
        <v>167</v>
      </c>
      <c r="K215" s="134">
        <v>322</v>
      </c>
      <c r="L215" s="134">
        <v>2</v>
      </c>
      <c r="M215" s="134">
        <v>13</v>
      </c>
      <c r="N215" s="134">
        <v>1</v>
      </c>
      <c r="O215" s="134">
        <v>1</v>
      </c>
      <c r="P215" s="134">
        <v>0</v>
      </c>
      <c r="Q215" s="134">
        <v>0</v>
      </c>
      <c r="R215" s="134">
        <v>2</v>
      </c>
      <c r="S215" s="134">
        <v>1</v>
      </c>
      <c r="T215" s="134">
        <v>16</v>
      </c>
      <c r="U215" s="134">
        <v>33</v>
      </c>
      <c r="V215" s="134">
        <v>4</v>
      </c>
      <c r="W215" s="134">
        <v>4</v>
      </c>
    </row>
    <row r="216" spans="1:23" ht="72.75" customHeight="1">
      <c r="A216" s="230" t="s">
        <v>241</v>
      </c>
      <c r="B216" s="230" t="s">
        <v>247</v>
      </c>
      <c r="C216" s="229" t="s">
        <v>70</v>
      </c>
      <c r="D216" s="134">
        <v>62</v>
      </c>
      <c r="E216" s="134">
        <v>62</v>
      </c>
      <c r="F216" s="134">
        <v>330</v>
      </c>
      <c r="G216" s="134">
        <v>297</v>
      </c>
      <c r="H216" s="134">
        <v>126</v>
      </c>
      <c r="I216" s="134">
        <v>81</v>
      </c>
      <c r="J216" s="134">
        <v>39</v>
      </c>
      <c r="K216" s="134">
        <v>101</v>
      </c>
      <c r="L216" s="134">
        <v>4</v>
      </c>
      <c r="M216" s="134">
        <v>7</v>
      </c>
      <c r="N216" s="136">
        <v>6</v>
      </c>
      <c r="O216" s="136">
        <v>9</v>
      </c>
      <c r="P216" s="134">
        <v>0</v>
      </c>
      <c r="Q216" s="134">
        <v>0</v>
      </c>
      <c r="R216" s="134">
        <v>2</v>
      </c>
      <c r="S216" s="134">
        <v>4</v>
      </c>
      <c r="T216" s="134">
        <v>13</v>
      </c>
      <c r="U216" s="134">
        <v>24</v>
      </c>
      <c r="V216" s="134">
        <v>8</v>
      </c>
      <c r="W216" s="134">
        <v>7</v>
      </c>
    </row>
    <row r="217" spans="1:23" ht="72.75" customHeight="1">
      <c r="A217" s="230" t="s">
        <v>241</v>
      </c>
      <c r="B217" s="230" t="s">
        <v>242</v>
      </c>
      <c r="C217" s="229" t="s">
        <v>927</v>
      </c>
      <c r="D217" s="134">
        <v>4</v>
      </c>
      <c r="E217" s="134">
        <v>15</v>
      </c>
      <c r="F217" s="134">
        <v>40</v>
      </c>
      <c r="G217" s="134">
        <v>168</v>
      </c>
      <c r="H217" s="153">
        <v>19</v>
      </c>
      <c r="I217" s="153">
        <v>67</v>
      </c>
      <c r="J217" s="134">
        <v>123</v>
      </c>
      <c r="K217" s="134">
        <v>327</v>
      </c>
      <c r="L217" s="134">
        <v>4</v>
      </c>
      <c r="M217" s="153">
        <v>10</v>
      </c>
      <c r="N217" s="153">
        <v>0</v>
      </c>
      <c r="O217" s="153">
        <v>1</v>
      </c>
      <c r="P217" s="153">
        <v>0</v>
      </c>
      <c r="Q217" s="153">
        <v>0</v>
      </c>
      <c r="R217" s="134">
        <v>0</v>
      </c>
      <c r="S217" s="134">
        <v>0</v>
      </c>
      <c r="T217" s="134">
        <v>11</v>
      </c>
      <c r="U217" s="134">
        <v>19</v>
      </c>
      <c r="V217" s="134">
        <v>5</v>
      </c>
      <c r="W217" s="134">
        <v>20</v>
      </c>
    </row>
    <row r="218" spans="1:23" ht="72.75" customHeight="1">
      <c r="A218" s="230" t="s">
        <v>241</v>
      </c>
      <c r="B218" s="230" t="s">
        <v>242</v>
      </c>
      <c r="C218" s="229" t="s">
        <v>33</v>
      </c>
      <c r="D218" s="134">
        <v>122</v>
      </c>
      <c r="E218" s="134">
        <v>44</v>
      </c>
      <c r="F218" s="134">
        <v>479</v>
      </c>
      <c r="G218" s="134">
        <v>119</v>
      </c>
      <c r="H218" s="134">
        <v>136</v>
      </c>
      <c r="I218" s="136">
        <v>25</v>
      </c>
      <c r="J218" s="136">
        <v>303</v>
      </c>
      <c r="K218" s="136">
        <v>95</v>
      </c>
      <c r="L218" s="136">
        <v>93</v>
      </c>
      <c r="M218" s="136">
        <v>21</v>
      </c>
      <c r="N218" s="136">
        <v>13</v>
      </c>
      <c r="O218" s="136">
        <v>2</v>
      </c>
      <c r="P218" s="136">
        <v>0</v>
      </c>
      <c r="Q218" s="136">
        <v>0</v>
      </c>
      <c r="R218" s="136">
        <v>0</v>
      </c>
      <c r="S218" s="136">
        <v>0</v>
      </c>
      <c r="T218" s="136">
        <v>14</v>
      </c>
      <c r="U218" s="136">
        <v>8</v>
      </c>
      <c r="V218" s="136">
        <v>32</v>
      </c>
      <c r="W218" s="136">
        <v>6</v>
      </c>
    </row>
    <row r="219" spans="1:23" ht="72.75" customHeight="1">
      <c r="A219" s="230" t="s">
        <v>241</v>
      </c>
      <c r="B219" s="230" t="s">
        <v>247</v>
      </c>
      <c r="C219" s="229" t="s">
        <v>831</v>
      </c>
      <c r="D219" s="134">
        <v>51</v>
      </c>
      <c r="E219" s="134">
        <v>64</v>
      </c>
      <c r="F219" s="134">
        <v>269</v>
      </c>
      <c r="G219" s="134">
        <v>285</v>
      </c>
      <c r="H219" s="134">
        <v>101</v>
      </c>
      <c r="I219" s="134">
        <v>103</v>
      </c>
      <c r="J219" s="134">
        <v>201</v>
      </c>
      <c r="K219" s="134">
        <v>150</v>
      </c>
      <c r="L219" s="134">
        <v>104</v>
      </c>
      <c r="M219" s="134">
        <v>99</v>
      </c>
      <c r="N219" s="134">
        <v>1</v>
      </c>
      <c r="O219" s="134">
        <v>0</v>
      </c>
      <c r="P219" s="134">
        <v>0</v>
      </c>
      <c r="Q219" s="134">
        <v>0</v>
      </c>
      <c r="R219" s="134">
        <v>1</v>
      </c>
      <c r="S219" s="134">
        <v>2</v>
      </c>
      <c r="T219" s="134">
        <v>11</v>
      </c>
      <c r="U219" s="134">
        <v>14</v>
      </c>
      <c r="V219" s="134">
        <v>3</v>
      </c>
      <c r="W219" s="134">
        <v>5</v>
      </c>
    </row>
    <row r="220" spans="1:23" ht="72.75" customHeight="1">
      <c r="A220" s="230" t="s">
        <v>255</v>
      </c>
      <c r="B220" s="230" t="s">
        <v>38</v>
      </c>
      <c r="C220" s="229" t="s">
        <v>256</v>
      </c>
      <c r="D220" s="134">
        <v>65</v>
      </c>
      <c r="E220" s="134">
        <v>93</v>
      </c>
      <c r="F220" s="134">
        <v>270</v>
      </c>
      <c r="G220" s="134">
        <v>356</v>
      </c>
      <c r="H220" s="134">
        <v>115</v>
      </c>
      <c r="I220" s="134">
        <v>87</v>
      </c>
      <c r="J220" s="134">
        <v>408</v>
      </c>
      <c r="K220" s="134">
        <v>314</v>
      </c>
      <c r="L220" s="134">
        <v>7</v>
      </c>
      <c r="M220" s="134">
        <v>6</v>
      </c>
      <c r="N220" s="134">
        <v>3</v>
      </c>
      <c r="O220" s="134">
        <v>5</v>
      </c>
      <c r="P220" s="174"/>
      <c r="Q220" s="174"/>
      <c r="R220" s="134">
        <v>54</v>
      </c>
      <c r="S220" s="134">
        <v>5</v>
      </c>
      <c r="T220" s="134">
        <v>17</v>
      </c>
      <c r="U220" s="134">
        <v>29</v>
      </c>
      <c r="V220" s="134">
        <v>23</v>
      </c>
      <c r="W220" s="134">
        <v>19</v>
      </c>
    </row>
    <row r="221" spans="1:23" ht="72.75" customHeight="1">
      <c r="A221" s="230" t="s">
        <v>255</v>
      </c>
      <c r="B221" s="230" t="s">
        <v>38</v>
      </c>
      <c r="C221" s="229" t="s">
        <v>257</v>
      </c>
      <c r="D221" s="134">
        <v>157</v>
      </c>
      <c r="E221" s="134">
        <v>132</v>
      </c>
      <c r="F221" s="134">
        <v>598</v>
      </c>
      <c r="G221" s="134">
        <v>531</v>
      </c>
      <c r="H221" s="134">
        <v>176</v>
      </c>
      <c r="I221" s="134">
        <v>97</v>
      </c>
      <c r="J221" s="134">
        <v>2944</v>
      </c>
      <c r="K221" s="134">
        <v>1185</v>
      </c>
      <c r="L221" s="134">
        <v>21</v>
      </c>
      <c r="M221" s="134">
        <v>12</v>
      </c>
      <c r="N221" s="134">
        <v>6</v>
      </c>
      <c r="O221" s="134">
        <v>3</v>
      </c>
      <c r="P221" s="174"/>
      <c r="Q221" s="174"/>
      <c r="R221" s="134">
        <v>30</v>
      </c>
      <c r="S221" s="134">
        <v>33</v>
      </c>
      <c r="T221" s="134">
        <v>60</v>
      </c>
      <c r="U221" s="134">
        <v>47</v>
      </c>
      <c r="V221" s="134">
        <v>40</v>
      </c>
      <c r="W221" s="134">
        <v>25</v>
      </c>
    </row>
    <row r="222" spans="1:23" ht="72.75" customHeight="1">
      <c r="A222" s="230" t="s">
        <v>255</v>
      </c>
      <c r="B222" s="230" t="s">
        <v>258</v>
      </c>
      <c r="C222" s="229" t="s">
        <v>259</v>
      </c>
      <c r="D222" s="134">
        <v>111</v>
      </c>
      <c r="E222" s="134">
        <v>130</v>
      </c>
      <c r="F222" s="134">
        <v>571</v>
      </c>
      <c r="G222" s="134">
        <v>516</v>
      </c>
      <c r="H222" s="134">
        <v>186</v>
      </c>
      <c r="I222" s="134">
        <v>134</v>
      </c>
      <c r="J222" s="134">
        <v>2672</v>
      </c>
      <c r="K222" s="134">
        <v>1259</v>
      </c>
      <c r="L222" s="134">
        <v>10</v>
      </c>
      <c r="M222" s="134">
        <v>12</v>
      </c>
      <c r="N222" s="134">
        <v>7</v>
      </c>
      <c r="O222" s="134">
        <v>2</v>
      </c>
      <c r="P222" s="174"/>
      <c r="Q222" s="174"/>
      <c r="R222" s="134">
        <v>50</v>
      </c>
      <c r="S222" s="134">
        <v>63</v>
      </c>
      <c r="T222" s="134">
        <v>91</v>
      </c>
      <c r="U222" s="134">
        <v>81</v>
      </c>
      <c r="V222" s="134">
        <v>49</v>
      </c>
      <c r="W222" s="134">
        <v>25</v>
      </c>
    </row>
    <row r="223" spans="1:23" ht="72.75" customHeight="1">
      <c r="A223" s="230" t="s">
        <v>255</v>
      </c>
      <c r="B223" s="230" t="s">
        <v>258</v>
      </c>
      <c r="C223" s="229" t="s">
        <v>156</v>
      </c>
      <c r="D223" s="134">
        <v>136</v>
      </c>
      <c r="E223" s="134">
        <v>92</v>
      </c>
      <c r="F223" s="134">
        <v>559</v>
      </c>
      <c r="G223" s="134">
        <v>381</v>
      </c>
      <c r="H223" s="134">
        <v>122</v>
      </c>
      <c r="I223" s="134">
        <v>69</v>
      </c>
      <c r="J223" s="134">
        <v>347</v>
      </c>
      <c r="K223" s="134">
        <v>265</v>
      </c>
      <c r="L223" s="134">
        <v>15</v>
      </c>
      <c r="M223" s="134">
        <v>9</v>
      </c>
      <c r="N223" s="134">
        <v>3</v>
      </c>
      <c r="O223" s="134">
        <v>2</v>
      </c>
      <c r="P223" s="174"/>
      <c r="Q223" s="174"/>
      <c r="R223" s="134">
        <v>30</v>
      </c>
      <c r="S223" s="134">
        <v>23</v>
      </c>
      <c r="T223" s="134">
        <v>51</v>
      </c>
      <c r="U223" s="134">
        <v>28</v>
      </c>
      <c r="V223" s="134">
        <v>23</v>
      </c>
      <c r="W223" s="134">
        <v>13</v>
      </c>
    </row>
    <row r="224" spans="1:23" ht="72.75" customHeight="1">
      <c r="A224" s="230" t="s">
        <v>255</v>
      </c>
      <c r="B224" s="230" t="s">
        <v>258</v>
      </c>
      <c r="C224" s="229" t="s">
        <v>260</v>
      </c>
      <c r="D224" s="134">
        <v>75</v>
      </c>
      <c r="E224" s="134">
        <v>140</v>
      </c>
      <c r="F224" s="134">
        <v>349</v>
      </c>
      <c r="G224" s="134">
        <v>524</v>
      </c>
      <c r="H224" s="134">
        <v>106</v>
      </c>
      <c r="I224" s="134">
        <v>83</v>
      </c>
      <c r="J224" s="134">
        <v>282</v>
      </c>
      <c r="K224" s="134">
        <v>274</v>
      </c>
      <c r="L224" s="134">
        <v>3</v>
      </c>
      <c r="M224" s="134">
        <v>7</v>
      </c>
      <c r="N224" s="134">
        <v>4</v>
      </c>
      <c r="O224" s="134">
        <v>8</v>
      </c>
      <c r="P224" s="174"/>
      <c r="Q224" s="174"/>
      <c r="R224" s="134">
        <v>4</v>
      </c>
      <c r="S224" s="134">
        <v>15</v>
      </c>
      <c r="T224" s="134">
        <v>36</v>
      </c>
      <c r="U224" s="134">
        <v>72</v>
      </c>
      <c r="V224" s="134">
        <v>16</v>
      </c>
      <c r="W224" s="134">
        <v>11</v>
      </c>
    </row>
    <row r="225" spans="1:23" ht="72.75" customHeight="1">
      <c r="A225" s="230" t="s">
        <v>255</v>
      </c>
      <c r="B225" s="230" t="s">
        <v>258</v>
      </c>
      <c r="C225" s="229" t="s">
        <v>155</v>
      </c>
      <c r="D225" s="134">
        <v>113</v>
      </c>
      <c r="E225" s="134">
        <v>86</v>
      </c>
      <c r="F225" s="134">
        <v>461</v>
      </c>
      <c r="G225" s="134">
        <v>371</v>
      </c>
      <c r="H225" s="134">
        <v>87</v>
      </c>
      <c r="I225" s="134">
        <v>34</v>
      </c>
      <c r="J225" s="134">
        <v>286</v>
      </c>
      <c r="K225" s="134">
        <v>149</v>
      </c>
      <c r="L225" s="134">
        <v>6</v>
      </c>
      <c r="M225" s="134">
        <v>9</v>
      </c>
      <c r="N225" s="134">
        <v>3</v>
      </c>
      <c r="O225" s="134">
        <v>3</v>
      </c>
      <c r="P225" s="174"/>
      <c r="Q225" s="174"/>
      <c r="R225" s="134">
        <v>30</v>
      </c>
      <c r="S225" s="134">
        <v>22</v>
      </c>
      <c r="T225" s="134">
        <v>31</v>
      </c>
      <c r="U225" s="134">
        <v>19</v>
      </c>
      <c r="V225" s="134">
        <v>13</v>
      </c>
      <c r="W225" s="134">
        <v>10</v>
      </c>
    </row>
    <row r="226" spans="1:23" ht="72.75" customHeight="1">
      <c r="A226" s="230" t="s">
        <v>255</v>
      </c>
      <c r="B226" s="230" t="s">
        <v>261</v>
      </c>
      <c r="C226" s="229" t="s">
        <v>33</v>
      </c>
      <c r="D226" s="134">
        <v>202</v>
      </c>
      <c r="E226" s="134">
        <v>80</v>
      </c>
      <c r="F226" s="134">
        <v>795</v>
      </c>
      <c r="G226" s="134">
        <v>284</v>
      </c>
      <c r="H226" s="134">
        <v>147</v>
      </c>
      <c r="I226" s="134">
        <v>61</v>
      </c>
      <c r="J226" s="134">
        <v>1154</v>
      </c>
      <c r="K226" s="134">
        <v>375</v>
      </c>
      <c r="L226" s="134">
        <v>31</v>
      </c>
      <c r="M226" s="134">
        <v>14</v>
      </c>
      <c r="N226" s="134">
        <v>9</v>
      </c>
      <c r="O226" s="134">
        <v>6</v>
      </c>
      <c r="P226" s="174"/>
      <c r="Q226" s="174"/>
      <c r="R226" s="134">
        <v>24</v>
      </c>
      <c r="S226" s="134">
        <v>5</v>
      </c>
      <c r="T226" s="134">
        <v>55</v>
      </c>
      <c r="U226" s="134">
        <v>25</v>
      </c>
      <c r="V226" s="134">
        <v>53</v>
      </c>
      <c r="W226" s="134">
        <v>15</v>
      </c>
    </row>
    <row r="227" spans="1:23" ht="72.75" customHeight="1">
      <c r="A227" s="230" t="s">
        <v>255</v>
      </c>
      <c r="B227" s="230" t="s">
        <v>261</v>
      </c>
      <c r="C227" s="229" t="s">
        <v>262</v>
      </c>
      <c r="D227" s="134">
        <v>91</v>
      </c>
      <c r="E227" s="134">
        <v>32</v>
      </c>
      <c r="F227" s="134">
        <v>294</v>
      </c>
      <c r="G227" s="134">
        <v>170</v>
      </c>
      <c r="H227" s="134">
        <v>72</v>
      </c>
      <c r="I227" s="134">
        <v>46</v>
      </c>
      <c r="J227" s="134">
        <v>312</v>
      </c>
      <c r="K227" s="134">
        <v>213</v>
      </c>
      <c r="L227" s="134">
        <v>10</v>
      </c>
      <c r="M227" s="134">
        <v>10</v>
      </c>
      <c r="N227" s="134">
        <v>8</v>
      </c>
      <c r="O227" s="134">
        <v>3</v>
      </c>
      <c r="P227" s="174"/>
      <c r="Q227" s="174"/>
      <c r="R227" s="134">
        <v>8</v>
      </c>
      <c r="S227" s="134">
        <v>8</v>
      </c>
      <c r="T227" s="134">
        <v>16</v>
      </c>
      <c r="U227" s="134">
        <v>14</v>
      </c>
      <c r="V227" s="134">
        <v>13</v>
      </c>
      <c r="W227" s="134">
        <v>10</v>
      </c>
    </row>
    <row r="228" spans="1:23" ht="72.75" customHeight="1">
      <c r="A228" s="230" t="s">
        <v>296</v>
      </c>
      <c r="B228" s="230" t="s">
        <v>139</v>
      </c>
      <c r="C228" s="229" t="s">
        <v>863</v>
      </c>
      <c r="D228" s="134">
        <v>79</v>
      </c>
      <c r="E228" s="134">
        <v>52</v>
      </c>
      <c r="F228" s="134">
        <v>328</v>
      </c>
      <c r="G228" s="134">
        <v>179</v>
      </c>
      <c r="H228" s="134">
        <v>119</v>
      </c>
      <c r="I228" s="134">
        <v>101</v>
      </c>
      <c r="J228" s="134">
        <v>299</v>
      </c>
      <c r="K228" s="134">
        <v>147</v>
      </c>
      <c r="L228" s="134">
        <v>24</v>
      </c>
      <c r="M228" s="134">
        <v>19</v>
      </c>
      <c r="N228" s="134">
        <v>11</v>
      </c>
      <c r="O228" s="134">
        <v>4</v>
      </c>
      <c r="P228" s="136">
        <v>2</v>
      </c>
      <c r="Q228" s="136">
        <v>0</v>
      </c>
      <c r="R228" s="134">
        <v>1</v>
      </c>
      <c r="S228" s="134">
        <v>1</v>
      </c>
      <c r="T228" s="134">
        <v>9</v>
      </c>
      <c r="U228" s="134">
        <v>18</v>
      </c>
      <c r="V228" s="134">
        <v>8</v>
      </c>
      <c r="W228" s="134">
        <v>9</v>
      </c>
    </row>
    <row r="229" spans="1:23" ht="72.75" customHeight="1">
      <c r="A229" s="230" t="s">
        <v>296</v>
      </c>
      <c r="B229" s="230" t="s">
        <v>139</v>
      </c>
      <c r="C229" s="229" t="s">
        <v>864</v>
      </c>
      <c r="D229" s="134">
        <v>118</v>
      </c>
      <c r="E229" s="134">
        <v>25</v>
      </c>
      <c r="F229" s="134">
        <v>438</v>
      </c>
      <c r="G229" s="134">
        <v>105</v>
      </c>
      <c r="H229" s="134">
        <v>227</v>
      </c>
      <c r="I229" s="134">
        <v>49</v>
      </c>
      <c r="J229" s="134">
        <v>400</v>
      </c>
      <c r="K229" s="134">
        <v>65</v>
      </c>
      <c r="L229" s="134">
        <v>97</v>
      </c>
      <c r="M229" s="134">
        <v>23</v>
      </c>
      <c r="N229" s="136">
        <v>11</v>
      </c>
      <c r="O229" s="136">
        <v>0</v>
      </c>
      <c r="P229" s="134">
        <v>1</v>
      </c>
      <c r="Q229" s="134">
        <v>0</v>
      </c>
      <c r="R229" s="134">
        <v>7</v>
      </c>
      <c r="S229" s="134">
        <v>3</v>
      </c>
      <c r="T229" s="134">
        <v>24</v>
      </c>
      <c r="U229" s="134">
        <v>5</v>
      </c>
      <c r="V229" s="134">
        <v>26</v>
      </c>
      <c r="W229" s="134">
        <v>2</v>
      </c>
    </row>
    <row r="230" spans="1:23" ht="72.75" customHeight="1">
      <c r="A230" s="230" t="s">
        <v>296</v>
      </c>
      <c r="B230" s="230" t="s">
        <v>139</v>
      </c>
      <c r="C230" s="229" t="s">
        <v>865</v>
      </c>
      <c r="D230" s="134">
        <v>46</v>
      </c>
      <c r="E230" s="134">
        <v>43</v>
      </c>
      <c r="F230" s="134">
        <v>286</v>
      </c>
      <c r="G230" s="134">
        <v>218</v>
      </c>
      <c r="H230" s="134">
        <v>112</v>
      </c>
      <c r="I230" s="134">
        <v>114</v>
      </c>
      <c r="J230" s="134">
        <v>173</v>
      </c>
      <c r="K230" s="134">
        <v>173</v>
      </c>
      <c r="L230" s="134">
        <v>8</v>
      </c>
      <c r="M230" s="134">
        <v>4</v>
      </c>
      <c r="N230" s="136">
        <v>4</v>
      </c>
      <c r="O230" s="136">
        <v>2</v>
      </c>
      <c r="P230" s="136">
        <v>0</v>
      </c>
      <c r="Q230" s="136">
        <v>0</v>
      </c>
      <c r="R230" s="291">
        <v>3</v>
      </c>
      <c r="S230" s="291">
        <v>1</v>
      </c>
      <c r="T230" s="134">
        <v>19</v>
      </c>
      <c r="U230" s="134">
        <v>33</v>
      </c>
      <c r="V230" s="134">
        <v>6</v>
      </c>
      <c r="W230" s="134">
        <v>17</v>
      </c>
    </row>
    <row r="231" spans="1:23" ht="72.75" customHeight="1">
      <c r="A231" s="230" t="s">
        <v>296</v>
      </c>
      <c r="B231" s="230" t="s">
        <v>832</v>
      </c>
      <c r="C231" s="229" t="s">
        <v>147</v>
      </c>
      <c r="D231" s="134">
        <v>48</v>
      </c>
      <c r="E231" s="134">
        <v>160</v>
      </c>
      <c r="F231" s="134">
        <v>177</v>
      </c>
      <c r="G231" s="134">
        <v>600</v>
      </c>
      <c r="H231" s="134">
        <v>26</v>
      </c>
      <c r="I231" s="134">
        <v>69</v>
      </c>
      <c r="J231" s="134">
        <v>127</v>
      </c>
      <c r="K231" s="134">
        <v>248</v>
      </c>
      <c r="L231" s="134">
        <v>47</v>
      </c>
      <c r="M231" s="134">
        <v>111</v>
      </c>
      <c r="N231" s="136">
        <v>6</v>
      </c>
      <c r="O231" s="136">
        <v>10</v>
      </c>
      <c r="P231" s="136">
        <v>1</v>
      </c>
      <c r="Q231" s="136">
        <v>2</v>
      </c>
      <c r="R231" s="134">
        <v>7</v>
      </c>
      <c r="S231" s="134">
        <v>41</v>
      </c>
      <c r="T231" s="134">
        <v>7</v>
      </c>
      <c r="U231" s="134">
        <v>37</v>
      </c>
      <c r="V231" s="134">
        <v>7</v>
      </c>
      <c r="W231" s="134">
        <v>10</v>
      </c>
    </row>
    <row r="232" spans="1:23" ht="72.75" customHeight="1">
      <c r="A232" s="230" t="s">
        <v>296</v>
      </c>
      <c r="B232" s="230" t="s">
        <v>832</v>
      </c>
      <c r="C232" s="229" t="s">
        <v>866</v>
      </c>
      <c r="D232" s="134">
        <v>14</v>
      </c>
      <c r="E232" s="134">
        <v>176</v>
      </c>
      <c r="F232" s="134">
        <v>38</v>
      </c>
      <c r="G232" s="134">
        <v>581</v>
      </c>
      <c r="H232" s="134">
        <v>8</v>
      </c>
      <c r="I232" s="134">
        <v>53</v>
      </c>
      <c r="J232" s="134">
        <v>62</v>
      </c>
      <c r="K232" s="134">
        <v>235</v>
      </c>
      <c r="L232" s="134">
        <v>15</v>
      </c>
      <c r="M232" s="134">
        <v>129</v>
      </c>
      <c r="N232" s="136">
        <v>1</v>
      </c>
      <c r="O232" s="136">
        <v>4</v>
      </c>
      <c r="P232" s="136">
        <v>0</v>
      </c>
      <c r="Q232" s="136">
        <v>0</v>
      </c>
      <c r="R232" s="134">
        <v>3</v>
      </c>
      <c r="S232" s="134">
        <v>58</v>
      </c>
      <c r="T232" s="134">
        <v>2</v>
      </c>
      <c r="U232" s="134">
        <v>51</v>
      </c>
      <c r="V232" s="134">
        <v>2</v>
      </c>
      <c r="W232" s="134">
        <v>5</v>
      </c>
    </row>
    <row r="233" spans="1:23" ht="72.75" customHeight="1">
      <c r="A233" s="230" t="s">
        <v>296</v>
      </c>
      <c r="B233" s="230" t="s">
        <v>832</v>
      </c>
      <c r="C233" s="229" t="s">
        <v>867</v>
      </c>
      <c r="D233" s="134">
        <v>5</v>
      </c>
      <c r="E233" s="134">
        <v>17</v>
      </c>
      <c r="F233" s="134">
        <v>103</v>
      </c>
      <c r="G233" s="134">
        <v>253</v>
      </c>
      <c r="H233" s="134">
        <v>44</v>
      </c>
      <c r="I233" s="134">
        <v>87</v>
      </c>
      <c r="J233" s="134">
        <v>177</v>
      </c>
      <c r="K233" s="134">
        <v>451</v>
      </c>
      <c r="L233" s="134">
        <v>5</v>
      </c>
      <c r="M233" s="134">
        <v>6</v>
      </c>
      <c r="N233" s="136">
        <v>0</v>
      </c>
      <c r="O233" s="136">
        <v>4</v>
      </c>
      <c r="P233" s="136">
        <v>0</v>
      </c>
      <c r="Q233" s="136">
        <v>0</v>
      </c>
      <c r="R233" s="134">
        <v>3</v>
      </c>
      <c r="S233" s="134">
        <v>14</v>
      </c>
      <c r="T233" s="134">
        <v>16</v>
      </c>
      <c r="U233" s="134">
        <v>50</v>
      </c>
      <c r="V233" s="134">
        <v>8</v>
      </c>
      <c r="W233" s="134">
        <v>14</v>
      </c>
    </row>
    <row r="234" spans="1:23" ht="72.75" customHeight="1">
      <c r="A234" s="230" t="s">
        <v>296</v>
      </c>
      <c r="B234" s="230" t="s">
        <v>833</v>
      </c>
      <c r="C234" s="229" t="s">
        <v>868</v>
      </c>
      <c r="D234" s="134">
        <v>85</v>
      </c>
      <c r="E234" s="134">
        <v>72</v>
      </c>
      <c r="F234" s="134">
        <v>412</v>
      </c>
      <c r="G234" s="134">
        <v>317</v>
      </c>
      <c r="H234" s="134">
        <v>58</v>
      </c>
      <c r="I234" s="134">
        <v>29</v>
      </c>
      <c r="J234" s="134">
        <v>444</v>
      </c>
      <c r="K234" s="134">
        <v>311</v>
      </c>
      <c r="L234" s="134">
        <v>56</v>
      </c>
      <c r="M234" s="134">
        <v>44</v>
      </c>
      <c r="N234" s="136">
        <v>9</v>
      </c>
      <c r="O234" s="136">
        <v>3</v>
      </c>
      <c r="P234" s="134">
        <v>1</v>
      </c>
      <c r="Q234" s="134">
        <v>0</v>
      </c>
      <c r="R234" s="134">
        <v>24</v>
      </c>
      <c r="S234" s="134">
        <v>30</v>
      </c>
      <c r="T234" s="134">
        <v>37</v>
      </c>
      <c r="U234" s="134">
        <v>29</v>
      </c>
      <c r="V234" s="134">
        <v>20</v>
      </c>
      <c r="W234" s="134">
        <v>9</v>
      </c>
    </row>
    <row r="235" spans="1:23" ht="72.75" customHeight="1">
      <c r="A235" s="230" t="s">
        <v>296</v>
      </c>
      <c r="B235" s="230" t="s">
        <v>833</v>
      </c>
      <c r="C235" s="229" t="s">
        <v>869</v>
      </c>
      <c r="D235" s="134">
        <v>70</v>
      </c>
      <c r="E235" s="134">
        <v>54</v>
      </c>
      <c r="F235" s="134">
        <v>328</v>
      </c>
      <c r="G235" s="134">
        <v>284</v>
      </c>
      <c r="H235" s="134">
        <v>66</v>
      </c>
      <c r="I235" s="134">
        <v>37</v>
      </c>
      <c r="J235" s="134">
        <v>128</v>
      </c>
      <c r="K235" s="134">
        <v>86</v>
      </c>
      <c r="L235" s="134">
        <v>4</v>
      </c>
      <c r="M235" s="134">
        <v>5</v>
      </c>
      <c r="N235" s="136">
        <v>6</v>
      </c>
      <c r="O235" s="136">
        <v>0</v>
      </c>
      <c r="P235" s="134">
        <v>0</v>
      </c>
      <c r="Q235" s="134">
        <v>0</v>
      </c>
      <c r="R235" s="134">
        <v>15</v>
      </c>
      <c r="S235" s="134">
        <v>21</v>
      </c>
      <c r="T235" s="134">
        <v>33</v>
      </c>
      <c r="U235" s="134">
        <v>17</v>
      </c>
      <c r="V235" s="134">
        <v>13</v>
      </c>
      <c r="W235" s="134">
        <v>5</v>
      </c>
    </row>
    <row r="236" spans="1:23" ht="72.75" customHeight="1">
      <c r="A236" s="230" t="s">
        <v>296</v>
      </c>
      <c r="B236" s="230" t="s">
        <v>833</v>
      </c>
      <c r="C236" s="229" t="s">
        <v>870</v>
      </c>
      <c r="D236" s="134">
        <v>41</v>
      </c>
      <c r="E236" s="134">
        <v>48</v>
      </c>
      <c r="F236" s="134">
        <v>168</v>
      </c>
      <c r="G236" s="134">
        <v>140</v>
      </c>
      <c r="H236" s="134">
        <v>15</v>
      </c>
      <c r="I236" s="134">
        <v>26</v>
      </c>
      <c r="J236" s="134">
        <v>0</v>
      </c>
      <c r="K236" s="134">
        <v>0</v>
      </c>
      <c r="L236" s="134">
        <v>7</v>
      </c>
      <c r="M236" s="134">
        <v>8</v>
      </c>
      <c r="N236" s="134">
        <v>4</v>
      </c>
      <c r="O236" s="134">
        <v>1</v>
      </c>
      <c r="P236" s="136">
        <v>0</v>
      </c>
      <c r="Q236" s="136">
        <v>2</v>
      </c>
      <c r="R236" s="134">
        <v>2</v>
      </c>
      <c r="S236" s="134">
        <v>5</v>
      </c>
      <c r="T236" s="134">
        <v>11</v>
      </c>
      <c r="U236" s="134">
        <v>13</v>
      </c>
      <c r="V236" s="134"/>
      <c r="W236" s="134"/>
    </row>
    <row r="237" spans="1:23" ht="72.75" customHeight="1">
      <c r="A237" s="230" t="s">
        <v>296</v>
      </c>
      <c r="B237" s="230" t="s">
        <v>152</v>
      </c>
      <c r="C237" s="229" t="s">
        <v>32</v>
      </c>
      <c r="D237" s="134">
        <v>11</v>
      </c>
      <c r="E237" s="134">
        <v>8</v>
      </c>
      <c r="F237" s="134">
        <v>134</v>
      </c>
      <c r="G237" s="134">
        <v>124</v>
      </c>
      <c r="H237" s="134">
        <v>68</v>
      </c>
      <c r="I237" s="134">
        <v>46</v>
      </c>
      <c r="J237" s="134">
        <v>349</v>
      </c>
      <c r="K237" s="134">
        <v>207</v>
      </c>
      <c r="L237" s="134">
        <v>27</v>
      </c>
      <c r="M237" s="134">
        <v>24</v>
      </c>
      <c r="N237" s="134">
        <v>1</v>
      </c>
      <c r="O237" s="134">
        <v>2</v>
      </c>
      <c r="P237" s="136">
        <v>1</v>
      </c>
      <c r="Q237" s="136">
        <v>0</v>
      </c>
      <c r="R237" s="134">
        <v>2</v>
      </c>
      <c r="S237" s="134">
        <v>4</v>
      </c>
      <c r="T237" s="134">
        <v>5</v>
      </c>
      <c r="U237" s="134">
        <v>20</v>
      </c>
      <c r="V237" s="134">
        <v>16</v>
      </c>
      <c r="W237" s="134">
        <v>20</v>
      </c>
    </row>
    <row r="238" spans="1:23" ht="72.75" customHeight="1">
      <c r="A238" s="230" t="s">
        <v>296</v>
      </c>
      <c r="B238" s="230" t="s">
        <v>152</v>
      </c>
      <c r="C238" s="229" t="s">
        <v>871</v>
      </c>
      <c r="D238" s="134">
        <v>90</v>
      </c>
      <c r="E238" s="134">
        <v>64</v>
      </c>
      <c r="F238" s="134">
        <v>266</v>
      </c>
      <c r="G238" s="134">
        <v>223</v>
      </c>
      <c r="H238" s="134">
        <v>55</v>
      </c>
      <c r="I238" s="134">
        <v>58</v>
      </c>
      <c r="J238" s="134">
        <v>215</v>
      </c>
      <c r="K238" s="134">
        <v>156</v>
      </c>
      <c r="L238" s="134">
        <v>26</v>
      </c>
      <c r="M238" s="134">
        <v>30</v>
      </c>
      <c r="N238" s="134">
        <v>7</v>
      </c>
      <c r="O238" s="134">
        <v>0</v>
      </c>
      <c r="P238" s="136">
        <v>1</v>
      </c>
      <c r="Q238" s="136">
        <v>1</v>
      </c>
      <c r="R238" s="134">
        <v>1</v>
      </c>
      <c r="S238" s="134"/>
      <c r="T238" s="134">
        <v>8</v>
      </c>
      <c r="U238" s="134">
        <v>23</v>
      </c>
      <c r="V238" s="134">
        <v>11</v>
      </c>
      <c r="W238" s="134">
        <v>11</v>
      </c>
    </row>
    <row r="239" spans="1:23" ht="72.75" customHeight="1">
      <c r="A239" s="230" t="s">
        <v>296</v>
      </c>
      <c r="B239" s="230" t="s">
        <v>456</v>
      </c>
      <c r="C239" s="229" t="s">
        <v>633</v>
      </c>
      <c r="D239" s="134">
        <v>32</v>
      </c>
      <c r="E239" s="134">
        <v>26</v>
      </c>
      <c r="F239" s="134">
        <v>228</v>
      </c>
      <c r="G239" s="134">
        <v>143</v>
      </c>
      <c r="H239" s="134">
        <v>57</v>
      </c>
      <c r="I239" s="134">
        <v>73</v>
      </c>
      <c r="J239" s="134">
        <v>396</v>
      </c>
      <c r="K239" s="134">
        <v>311</v>
      </c>
      <c r="L239" s="134">
        <v>21</v>
      </c>
      <c r="M239" s="134">
        <v>14</v>
      </c>
      <c r="N239" s="134">
        <v>3</v>
      </c>
      <c r="O239" s="134">
        <v>2</v>
      </c>
      <c r="P239" s="136">
        <v>0</v>
      </c>
      <c r="Q239" s="136">
        <v>1</v>
      </c>
      <c r="R239" s="134">
        <v>1</v>
      </c>
      <c r="S239" s="134"/>
      <c r="T239" s="134">
        <v>17</v>
      </c>
      <c r="U239" s="134">
        <v>18</v>
      </c>
      <c r="V239" s="134">
        <v>14</v>
      </c>
      <c r="W239" s="134">
        <v>12</v>
      </c>
    </row>
    <row r="240" spans="1:23" ht="72.75" customHeight="1">
      <c r="A240" s="230" t="s">
        <v>296</v>
      </c>
      <c r="B240" s="230" t="s">
        <v>456</v>
      </c>
      <c r="C240" s="229" t="s">
        <v>872</v>
      </c>
      <c r="D240" s="134">
        <v>5</v>
      </c>
      <c r="E240" s="134">
        <v>20</v>
      </c>
      <c r="F240" s="134">
        <v>71</v>
      </c>
      <c r="G240" s="134">
        <v>264</v>
      </c>
      <c r="H240" s="134">
        <v>43</v>
      </c>
      <c r="I240" s="134">
        <v>74</v>
      </c>
      <c r="J240" s="134">
        <v>128</v>
      </c>
      <c r="K240" s="134">
        <v>285</v>
      </c>
      <c r="L240" s="134">
        <v>7</v>
      </c>
      <c r="M240" s="134">
        <v>23</v>
      </c>
      <c r="N240" s="134">
        <v>1</v>
      </c>
      <c r="O240" s="134">
        <v>3</v>
      </c>
      <c r="P240" s="136">
        <v>0</v>
      </c>
      <c r="Q240" s="136">
        <v>0</v>
      </c>
      <c r="R240" s="134">
        <v>3</v>
      </c>
      <c r="S240" s="134">
        <v>15</v>
      </c>
      <c r="T240" s="134">
        <v>10</v>
      </c>
      <c r="U240" s="134">
        <v>25</v>
      </c>
      <c r="V240" s="134">
        <v>3</v>
      </c>
      <c r="W240" s="134">
        <v>10</v>
      </c>
    </row>
    <row r="241" spans="1:23" ht="72.75" customHeight="1">
      <c r="A241" s="230" t="s">
        <v>296</v>
      </c>
      <c r="B241" s="230" t="s">
        <v>456</v>
      </c>
      <c r="C241" s="229" t="s">
        <v>457</v>
      </c>
      <c r="D241" s="134">
        <v>32</v>
      </c>
      <c r="E241" s="134">
        <v>108</v>
      </c>
      <c r="F241" s="134">
        <v>152</v>
      </c>
      <c r="G241" s="134">
        <v>474</v>
      </c>
      <c r="H241" s="134">
        <v>24</v>
      </c>
      <c r="I241" s="134">
        <v>69</v>
      </c>
      <c r="J241" s="134">
        <v>103</v>
      </c>
      <c r="K241" s="134">
        <v>228</v>
      </c>
      <c r="L241" s="134">
        <v>14</v>
      </c>
      <c r="M241" s="134">
        <v>31</v>
      </c>
      <c r="N241" s="134">
        <v>2</v>
      </c>
      <c r="O241" s="134">
        <v>3</v>
      </c>
      <c r="P241" s="136">
        <v>1</v>
      </c>
      <c r="Q241" s="136">
        <v>0</v>
      </c>
      <c r="R241" s="134">
        <v>12</v>
      </c>
      <c r="S241" s="134">
        <v>33</v>
      </c>
      <c r="T241" s="134">
        <v>19</v>
      </c>
      <c r="U241" s="134">
        <v>63</v>
      </c>
      <c r="V241" s="134">
        <v>1</v>
      </c>
      <c r="W241" s="134">
        <v>6</v>
      </c>
    </row>
    <row r="242" spans="1:23" ht="72.75" customHeight="1">
      <c r="A242" s="230" t="s">
        <v>296</v>
      </c>
      <c r="B242" s="230" t="s">
        <v>456</v>
      </c>
      <c r="C242" s="229" t="s">
        <v>873</v>
      </c>
      <c r="D242" s="134">
        <v>56</v>
      </c>
      <c r="E242" s="134">
        <v>90</v>
      </c>
      <c r="F242" s="134">
        <v>184</v>
      </c>
      <c r="G242" s="134">
        <v>308</v>
      </c>
      <c r="H242" s="134">
        <v>46</v>
      </c>
      <c r="I242" s="134">
        <v>58</v>
      </c>
      <c r="J242" s="134">
        <v>240</v>
      </c>
      <c r="K242" s="134">
        <v>260</v>
      </c>
      <c r="L242" s="134">
        <v>8</v>
      </c>
      <c r="M242" s="134">
        <v>24</v>
      </c>
      <c r="N242" s="134">
        <v>7</v>
      </c>
      <c r="O242" s="134">
        <v>7</v>
      </c>
      <c r="P242" s="136">
        <v>1</v>
      </c>
      <c r="Q242" s="136">
        <v>0</v>
      </c>
      <c r="R242" s="134">
        <v>6</v>
      </c>
      <c r="S242" s="134">
        <v>17</v>
      </c>
      <c r="T242" s="134">
        <v>23</v>
      </c>
      <c r="U242" s="134">
        <v>42</v>
      </c>
      <c r="V242" s="134">
        <v>7</v>
      </c>
      <c r="W242" s="134">
        <v>6</v>
      </c>
    </row>
    <row r="243" spans="1:23" ht="72.75" customHeight="1">
      <c r="A243" s="230" t="s">
        <v>296</v>
      </c>
      <c r="B243" s="230" t="s">
        <v>245</v>
      </c>
      <c r="C243" s="229" t="s">
        <v>874</v>
      </c>
      <c r="D243" s="134">
        <v>10</v>
      </c>
      <c r="E243" s="134">
        <v>27</v>
      </c>
      <c r="F243" s="134">
        <v>71</v>
      </c>
      <c r="G243" s="134">
        <v>212</v>
      </c>
      <c r="H243" s="134">
        <v>33</v>
      </c>
      <c r="I243" s="134">
        <v>51</v>
      </c>
      <c r="J243" s="134">
        <v>79</v>
      </c>
      <c r="K243" s="134">
        <v>162</v>
      </c>
      <c r="L243" s="134">
        <v>6</v>
      </c>
      <c r="M243" s="134">
        <v>14</v>
      </c>
      <c r="N243" s="134">
        <v>5</v>
      </c>
      <c r="O243" s="134">
        <v>6</v>
      </c>
      <c r="P243" s="136">
        <v>0</v>
      </c>
      <c r="Q243" s="136">
        <v>0</v>
      </c>
      <c r="R243" s="134">
        <v>2</v>
      </c>
      <c r="S243" s="134">
        <v>4</v>
      </c>
      <c r="T243" s="134">
        <v>10</v>
      </c>
      <c r="U243" s="134">
        <v>32</v>
      </c>
      <c r="V243" s="134">
        <v>15</v>
      </c>
      <c r="W243" s="134">
        <v>8</v>
      </c>
    </row>
    <row r="244" spans="1:23" ht="72.75" customHeight="1">
      <c r="A244" s="230" t="s">
        <v>296</v>
      </c>
      <c r="B244" s="230" t="s">
        <v>245</v>
      </c>
      <c r="C244" s="229" t="s">
        <v>245</v>
      </c>
      <c r="D244" s="134">
        <v>17</v>
      </c>
      <c r="E244" s="134">
        <v>17</v>
      </c>
      <c r="F244" s="134">
        <v>91</v>
      </c>
      <c r="G244" s="134">
        <v>104</v>
      </c>
      <c r="H244" s="134">
        <v>20</v>
      </c>
      <c r="I244" s="134">
        <v>49</v>
      </c>
      <c r="J244" s="134">
        <v>245</v>
      </c>
      <c r="K244" s="134">
        <v>181</v>
      </c>
      <c r="L244" s="134">
        <v>5</v>
      </c>
      <c r="M244" s="134">
        <v>6</v>
      </c>
      <c r="N244" s="134">
        <v>16</v>
      </c>
      <c r="O244" s="134">
        <v>13</v>
      </c>
      <c r="P244" s="136">
        <v>0</v>
      </c>
      <c r="Q244" s="136">
        <v>1</v>
      </c>
      <c r="R244" s="134">
        <v>1</v>
      </c>
      <c r="S244" s="134">
        <v>6</v>
      </c>
      <c r="T244" s="134">
        <v>2</v>
      </c>
      <c r="U244" s="134">
        <v>14</v>
      </c>
      <c r="V244" s="134">
        <v>6</v>
      </c>
      <c r="W244" s="134">
        <v>9</v>
      </c>
    </row>
    <row r="245" spans="1:23" ht="72.75" customHeight="1">
      <c r="A245" s="230" t="s">
        <v>296</v>
      </c>
      <c r="B245" s="230" t="s">
        <v>245</v>
      </c>
      <c r="C245" s="229" t="s">
        <v>875</v>
      </c>
      <c r="D245" s="134">
        <v>23</v>
      </c>
      <c r="E245" s="134">
        <v>23</v>
      </c>
      <c r="F245" s="134">
        <v>118</v>
      </c>
      <c r="G245" s="134">
        <v>155</v>
      </c>
      <c r="H245" s="134">
        <v>32</v>
      </c>
      <c r="I245" s="134">
        <v>77</v>
      </c>
      <c r="J245" s="134">
        <v>289</v>
      </c>
      <c r="K245" s="134">
        <v>257</v>
      </c>
      <c r="L245" s="134">
        <v>3</v>
      </c>
      <c r="M245" s="134">
        <v>6</v>
      </c>
      <c r="N245" s="134">
        <v>2</v>
      </c>
      <c r="O245" s="134">
        <v>2</v>
      </c>
      <c r="P245" s="136">
        <v>0</v>
      </c>
      <c r="Q245" s="136">
        <v>1</v>
      </c>
      <c r="R245" s="134">
        <v>1</v>
      </c>
      <c r="S245" s="134">
        <v>3</v>
      </c>
      <c r="T245" s="134">
        <v>4</v>
      </c>
      <c r="U245" s="134">
        <v>23</v>
      </c>
      <c r="V245" s="134">
        <v>15</v>
      </c>
      <c r="W245" s="134">
        <v>16</v>
      </c>
    </row>
    <row r="246" spans="1:23" ht="72.75" customHeight="1">
      <c r="A246" s="230" t="s">
        <v>295</v>
      </c>
      <c r="B246" s="230" t="s">
        <v>265</v>
      </c>
      <c r="C246" s="229" t="s">
        <v>266</v>
      </c>
      <c r="D246" s="136">
        <v>31</v>
      </c>
      <c r="E246" s="136">
        <v>73</v>
      </c>
      <c r="F246" s="153">
        <v>161</v>
      </c>
      <c r="G246" s="153">
        <v>305</v>
      </c>
      <c r="H246" s="136">
        <v>79</v>
      </c>
      <c r="I246" s="136">
        <v>116</v>
      </c>
      <c r="J246" s="136">
        <v>65</v>
      </c>
      <c r="K246" s="136">
        <v>188</v>
      </c>
      <c r="L246" s="136">
        <v>5</v>
      </c>
      <c r="M246" s="136">
        <v>14</v>
      </c>
      <c r="N246" s="136">
        <v>2</v>
      </c>
      <c r="O246" s="136">
        <v>2</v>
      </c>
      <c r="P246" s="136">
        <v>0</v>
      </c>
      <c r="Q246" s="136">
        <v>1</v>
      </c>
      <c r="R246" s="136">
        <v>1</v>
      </c>
      <c r="S246" s="136">
        <v>1</v>
      </c>
      <c r="T246" s="136">
        <v>28</v>
      </c>
      <c r="U246" s="136">
        <v>58</v>
      </c>
      <c r="V246" s="136">
        <v>12</v>
      </c>
      <c r="W246" s="136">
        <v>33</v>
      </c>
    </row>
    <row r="247" spans="1:23" ht="72.75" customHeight="1">
      <c r="A247" s="230" t="s">
        <v>295</v>
      </c>
      <c r="B247" s="230" t="s">
        <v>265</v>
      </c>
      <c r="C247" s="229" t="s">
        <v>267</v>
      </c>
      <c r="D247" s="136">
        <v>201</v>
      </c>
      <c r="E247" s="136">
        <v>177</v>
      </c>
      <c r="F247" s="153">
        <v>983</v>
      </c>
      <c r="G247" s="153">
        <v>777</v>
      </c>
      <c r="H247" s="136">
        <v>557</v>
      </c>
      <c r="I247" s="136">
        <v>312</v>
      </c>
      <c r="J247" s="136">
        <v>1432</v>
      </c>
      <c r="K247" s="136">
        <v>1289</v>
      </c>
      <c r="L247" s="136">
        <v>9</v>
      </c>
      <c r="M247" s="136">
        <v>17</v>
      </c>
      <c r="N247" s="136">
        <v>13</v>
      </c>
      <c r="O247" s="136">
        <v>5</v>
      </c>
      <c r="P247" s="136">
        <v>4</v>
      </c>
      <c r="Q247" s="136">
        <v>4</v>
      </c>
      <c r="R247" s="136">
        <v>0</v>
      </c>
      <c r="S247" s="136">
        <v>0</v>
      </c>
      <c r="T247" s="136">
        <v>104</v>
      </c>
      <c r="U247" s="136">
        <v>138</v>
      </c>
      <c r="V247" s="136">
        <v>63</v>
      </c>
      <c r="W247" s="136">
        <v>63</v>
      </c>
    </row>
    <row r="248" spans="1:23" ht="72.75" customHeight="1">
      <c r="A248" s="230" t="s">
        <v>295</v>
      </c>
      <c r="B248" s="230" t="s">
        <v>265</v>
      </c>
      <c r="C248" s="229" t="s">
        <v>268</v>
      </c>
      <c r="D248" s="136">
        <v>180</v>
      </c>
      <c r="E248" s="136">
        <v>213</v>
      </c>
      <c r="F248" s="153">
        <v>777</v>
      </c>
      <c r="G248" s="153">
        <v>821</v>
      </c>
      <c r="H248" s="136">
        <v>315</v>
      </c>
      <c r="I248" s="136">
        <v>221</v>
      </c>
      <c r="J248" s="136">
        <v>483</v>
      </c>
      <c r="K248" s="136">
        <v>543</v>
      </c>
      <c r="L248" s="136">
        <v>3</v>
      </c>
      <c r="M248" s="136">
        <v>1</v>
      </c>
      <c r="N248" s="136">
        <v>7</v>
      </c>
      <c r="O248" s="136">
        <v>3</v>
      </c>
      <c r="P248" s="136">
        <v>0</v>
      </c>
      <c r="Q248" s="136">
        <v>0</v>
      </c>
      <c r="R248" s="136">
        <v>0</v>
      </c>
      <c r="S248" s="136">
        <v>0</v>
      </c>
      <c r="T248" s="136">
        <v>33</v>
      </c>
      <c r="U248" s="136">
        <v>49</v>
      </c>
      <c r="V248" s="136">
        <v>14</v>
      </c>
      <c r="W248" s="136">
        <v>13</v>
      </c>
    </row>
    <row r="249" spans="1:23" ht="72.75" customHeight="1">
      <c r="A249" s="230" t="s">
        <v>295</v>
      </c>
      <c r="B249" s="230" t="s">
        <v>265</v>
      </c>
      <c r="C249" s="229" t="s">
        <v>136</v>
      </c>
      <c r="D249" s="136">
        <v>26</v>
      </c>
      <c r="E249" s="136">
        <v>138</v>
      </c>
      <c r="F249" s="153">
        <v>93</v>
      </c>
      <c r="G249" s="153">
        <v>585</v>
      </c>
      <c r="H249" s="136">
        <v>26</v>
      </c>
      <c r="I249" s="136">
        <v>72</v>
      </c>
      <c r="J249" s="136">
        <v>27</v>
      </c>
      <c r="K249" s="136">
        <v>138</v>
      </c>
      <c r="L249" s="136">
        <v>2</v>
      </c>
      <c r="M249" s="136">
        <v>10</v>
      </c>
      <c r="N249" s="136">
        <v>0</v>
      </c>
      <c r="O249" s="136">
        <v>1</v>
      </c>
      <c r="P249" s="136">
        <v>0</v>
      </c>
      <c r="Q249" s="136">
        <v>0</v>
      </c>
      <c r="R249" s="136">
        <v>3</v>
      </c>
      <c r="S249" s="136">
        <v>47</v>
      </c>
      <c r="T249" s="136">
        <v>2</v>
      </c>
      <c r="U249" s="136">
        <v>43</v>
      </c>
      <c r="V249" s="136">
        <v>0</v>
      </c>
      <c r="W249" s="136">
        <v>9</v>
      </c>
    </row>
    <row r="250" spans="1:23" ht="72.75" customHeight="1">
      <c r="A250" s="230" t="s">
        <v>295</v>
      </c>
      <c r="B250" s="230" t="s">
        <v>265</v>
      </c>
      <c r="C250" s="229" t="s">
        <v>156</v>
      </c>
      <c r="D250" s="136">
        <v>132</v>
      </c>
      <c r="E250" s="136">
        <v>90</v>
      </c>
      <c r="F250" s="153">
        <v>591</v>
      </c>
      <c r="G250" s="153">
        <v>416</v>
      </c>
      <c r="H250" s="136">
        <v>283</v>
      </c>
      <c r="I250" s="136">
        <v>155</v>
      </c>
      <c r="J250" s="136">
        <v>1302</v>
      </c>
      <c r="K250" s="136">
        <v>1015</v>
      </c>
      <c r="L250" s="136">
        <v>13</v>
      </c>
      <c r="M250" s="136">
        <v>7</v>
      </c>
      <c r="N250" s="136">
        <v>3</v>
      </c>
      <c r="O250" s="136">
        <v>3</v>
      </c>
      <c r="P250" s="136">
        <v>1</v>
      </c>
      <c r="Q250" s="136">
        <v>0</v>
      </c>
      <c r="R250" s="136">
        <v>1</v>
      </c>
      <c r="S250" s="136">
        <v>3</v>
      </c>
      <c r="T250" s="136">
        <v>71</v>
      </c>
      <c r="U250" s="136">
        <v>70</v>
      </c>
      <c r="V250" s="136">
        <v>37</v>
      </c>
      <c r="W250" s="136">
        <v>29</v>
      </c>
    </row>
    <row r="251" spans="1:23" ht="72.75" customHeight="1">
      <c r="A251" s="230" t="s">
        <v>295</v>
      </c>
      <c r="B251" s="230" t="s">
        <v>265</v>
      </c>
      <c r="C251" s="229" t="s">
        <v>269</v>
      </c>
      <c r="D251" s="136">
        <v>9</v>
      </c>
      <c r="E251" s="136">
        <v>172</v>
      </c>
      <c r="F251" s="153">
        <v>14</v>
      </c>
      <c r="G251" s="153">
        <v>576</v>
      </c>
      <c r="H251" s="136">
        <v>13</v>
      </c>
      <c r="I251" s="136">
        <v>89</v>
      </c>
      <c r="J251" s="136">
        <v>2</v>
      </c>
      <c r="K251" s="136">
        <v>109</v>
      </c>
      <c r="L251" s="136">
        <v>2</v>
      </c>
      <c r="M251" s="136">
        <v>14</v>
      </c>
      <c r="N251" s="136"/>
      <c r="O251" s="136">
        <v>2</v>
      </c>
      <c r="P251" s="136">
        <v>0</v>
      </c>
      <c r="Q251" s="136">
        <v>0</v>
      </c>
      <c r="R251" s="136">
        <v>0</v>
      </c>
      <c r="S251" s="136">
        <v>65</v>
      </c>
      <c r="T251" s="136">
        <v>1</v>
      </c>
      <c r="U251" s="136">
        <v>68</v>
      </c>
      <c r="V251" s="136">
        <v>0</v>
      </c>
      <c r="W251" s="136">
        <v>11</v>
      </c>
    </row>
    <row r="252" spans="1:23" ht="72.75" customHeight="1">
      <c r="A252" s="230" t="s">
        <v>295</v>
      </c>
      <c r="B252" s="230" t="s">
        <v>270</v>
      </c>
      <c r="C252" s="229" t="s">
        <v>271</v>
      </c>
      <c r="D252" s="136">
        <v>173</v>
      </c>
      <c r="E252" s="136">
        <v>33</v>
      </c>
      <c r="F252" s="153">
        <v>1162</v>
      </c>
      <c r="G252" s="153">
        <v>175</v>
      </c>
      <c r="H252" s="136">
        <v>873</v>
      </c>
      <c r="I252" s="136">
        <v>100</v>
      </c>
      <c r="J252" s="136">
        <v>4251</v>
      </c>
      <c r="K252" s="136">
        <v>334</v>
      </c>
      <c r="L252" s="136">
        <v>0</v>
      </c>
      <c r="M252" s="136">
        <v>0</v>
      </c>
      <c r="N252" s="136">
        <v>28</v>
      </c>
      <c r="O252" s="136">
        <v>0</v>
      </c>
      <c r="P252" s="136">
        <v>18</v>
      </c>
      <c r="Q252" s="136">
        <v>2</v>
      </c>
      <c r="R252" s="136">
        <v>5</v>
      </c>
      <c r="S252" s="136">
        <v>3</v>
      </c>
      <c r="T252" s="136">
        <v>35</v>
      </c>
      <c r="U252" s="136">
        <v>4</v>
      </c>
      <c r="V252" s="136">
        <v>80</v>
      </c>
      <c r="W252" s="136">
        <v>2</v>
      </c>
    </row>
    <row r="253" spans="1:23" ht="72.75" customHeight="1">
      <c r="A253" s="230" t="s">
        <v>295</v>
      </c>
      <c r="B253" s="230" t="s">
        <v>270</v>
      </c>
      <c r="C253" s="229" t="s">
        <v>272</v>
      </c>
      <c r="D253" s="136">
        <v>69</v>
      </c>
      <c r="E253" s="136">
        <v>49</v>
      </c>
      <c r="F253" s="153">
        <v>272</v>
      </c>
      <c r="G253" s="153">
        <v>238</v>
      </c>
      <c r="H253" s="136">
        <v>153</v>
      </c>
      <c r="I253" s="136">
        <v>66</v>
      </c>
      <c r="J253" s="136">
        <v>281</v>
      </c>
      <c r="K253" s="136">
        <v>75</v>
      </c>
      <c r="L253" s="136">
        <v>11</v>
      </c>
      <c r="M253" s="136">
        <v>8</v>
      </c>
      <c r="N253" s="136">
        <v>7</v>
      </c>
      <c r="O253" s="136">
        <v>0</v>
      </c>
      <c r="P253" s="136">
        <v>0</v>
      </c>
      <c r="Q253" s="136">
        <v>2</v>
      </c>
      <c r="R253" s="136">
        <v>5</v>
      </c>
      <c r="S253" s="136">
        <v>2</v>
      </c>
      <c r="T253" s="136">
        <v>16</v>
      </c>
      <c r="U253" s="136">
        <v>10</v>
      </c>
      <c r="V253" s="136">
        <v>17</v>
      </c>
      <c r="W253" s="136">
        <v>5</v>
      </c>
    </row>
    <row r="254" spans="1:23" ht="72.75" customHeight="1">
      <c r="A254" s="230" t="s">
        <v>295</v>
      </c>
      <c r="B254" s="230" t="s">
        <v>270</v>
      </c>
      <c r="C254" s="229" t="s">
        <v>273</v>
      </c>
      <c r="D254" s="136">
        <v>216</v>
      </c>
      <c r="E254" s="136">
        <v>71</v>
      </c>
      <c r="F254" s="153">
        <v>1036</v>
      </c>
      <c r="G254" s="153">
        <v>340</v>
      </c>
      <c r="H254" s="136">
        <v>451</v>
      </c>
      <c r="I254" s="136">
        <v>155</v>
      </c>
      <c r="J254" s="136">
        <v>1683</v>
      </c>
      <c r="K254" s="136">
        <v>500</v>
      </c>
      <c r="L254" s="136">
        <v>27</v>
      </c>
      <c r="M254" s="136">
        <v>14</v>
      </c>
      <c r="N254" s="136">
        <v>16</v>
      </c>
      <c r="O254" s="136">
        <v>3</v>
      </c>
      <c r="P254" s="136">
        <v>3</v>
      </c>
      <c r="Q254" s="136">
        <v>1</v>
      </c>
      <c r="R254" s="136">
        <v>12</v>
      </c>
      <c r="S254" s="136">
        <v>2</v>
      </c>
      <c r="T254" s="136">
        <v>44</v>
      </c>
      <c r="U254" s="136">
        <v>6</v>
      </c>
      <c r="V254" s="136">
        <v>52</v>
      </c>
      <c r="W254" s="136">
        <v>9</v>
      </c>
    </row>
    <row r="255" spans="1:23" ht="72.75" customHeight="1">
      <c r="A255" s="230" t="s">
        <v>295</v>
      </c>
      <c r="B255" s="230" t="s">
        <v>270</v>
      </c>
      <c r="C255" s="229" t="s">
        <v>274</v>
      </c>
      <c r="D255" s="136">
        <v>259</v>
      </c>
      <c r="E255" s="136">
        <v>44</v>
      </c>
      <c r="F255" s="153">
        <v>1155</v>
      </c>
      <c r="G255" s="153">
        <v>188</v>
      </c>
      <c r="H255" s="136">
        <v>709</v>
      </c>
      <c r="I255" s="136">
        <v>101</v>
      </c>
      <c r="J255" s="136">
        <v>1596</v>
      </c>
      <c r="K255" s="136">
        <v>232</v>
      </c>
      <c r="L255" s="136">
        <v>32</v>
      </c>
      <c r="M255" s="136">
        <v>10</v>
      </c>
      <c r="N255" s="136">
        <v>22</v>
      </c>
      <c r="O255" s="136">
        <v>4</v>
      </c>
      <c r="P255" s="136">
        <v>25</v>
      </c>
      <c r="Q255" s="136">
        <v>2</v>
      </c>
      <c r="R255" s="136">
        <v>0</v>
      </c>
      <c r="S255" s="136">
        <v>0</v>
      </c>
      <c r="T255" s="136">
        <v>30</v>
      </c>
      <c r="U255" s="136">
        <v>8</v>
      </c>
      <c r="V255" s="136">
        <v>41</v>
      </c>
      <c r="W255" s="136">
        <v>10</v>
      </c>
    </row>
    <row r="256" spans="1:23" ht="72.75" customHeight="1">
      <c r="A256" s="230" t="s">
        <v>295</v>
      </c>
      <c r="B256" s="230" t="s">
        <v>270</v>
      </c>
      <c r="C256" s="229" t="s">
        <v>275</v>
      </c>
      <c r="D256" s="136">
        <v>60</v>
      </c>
      <c r="E256" s="136">
        <v>37</v>
      </c>
      <c r="F256" s="153">
        <v>262</v>
      </c>
      <c r="G256" s="153">
        <v>190</v>
      </c>
      <c r="H256" s="136">
        <v>112</v>
      </c>
      <c r="I256" s="136">
        <v>93</v>
      </c>
      <c r="J256" s="136">
        <v>180</v>
      </c>
      <c r="K256" s="136">
        <v>115</v>
      </c>
      <c r="L256" s="136">
        <v>2</v>
      </c>
      <c r="M256" s="136">
        <v>1</v>
      </c>
      <c r="N256" s="136">
        <v>4</v>
      </c>
      <c r="O256" s="136">
        <v>4</v>
      </c>
      <c r="P256" s="136">
        <v>1</v>
      </c>
      <c r="Q256" s="136">
        <v>5</v>
      </c>
      <c r="R256" s="136">
        <v>0</v>
      </c>
      <c r="S256" s="136">
        <v>2</v>
      </c>
      <c r="T256" s="136">
        <v>8</v>
      </c>
      <c r="U256" s="136">
        <v>8</v>
      </c>
      <c r="V256" s="136">
        <v>12</v>
      </c>
      <c r="W256" s="136">
        <v>17</v>
      </c>
    </row>
    <row r="257" spans="1:23" ht="72.75" customHeight="1">
      <c r="A257" s="230" t="s">
        <v>295</v>
      </c>
      <c r="B257" s="230" t="s">
        <v>270</v>
      </c>
      <c r="C257" s="229" t="s">
        <v>54</v>
      </c>
      <c r="D257" s="136">
        <v>140</v>
      </c>
      <c r="E257" s="136">
        <v>22</v>
      </c>
      <c r="F257" s="153">
        <v>731</v>
      </c>
      <c r="G257" s="153">
        <v>115</v>
      </c>
      <c r="H257" s="136">
        <v>440</v>
      </c>
      <c r="I257" s="136">
        <v>63</v>
      </c>
      <c r="J257" s="136">
        <v>1789</v>
      </c>
      <c r="K257" s="136">
        <v>173</v>
      </c>
      <c r="L257" s="136">
        <v>12</v>
      </c>
      <c r="M257" s="136">
        <v>0</v>
      </c>
      <c r="N257" s="136">
        <v>16</v>
      </c>
      <c r="O257" s="136">
        <v>2</v>
      </c>
      <c r="P257" s="136">
        <v>13</v>
      </c>
      <c r="Q257" s="136">
        <v>2</v>
      </c>
      <c r="R257" s="136">
        <v>1</v>
      </c>
      <c r="S257" s="136">
        <v>0</v>
      </c>
      <c r="T257" s="136">
        <v>23</v>
      </c>
      <c r="U257" s="136">
        <v>9</v>
      </c>
      <c r="V257" s="136">
        <v>29</v>
      </c>
      <c r="W257" s="136">
        <v>2</v>
      </c>
    </row>
    <row r="258" spans="1:23" ht="72.75" customHeight="1">
      <c r="A258" s="230" t="s">
        <v>295</v>
      </c>
      <c r="B258" s="230" t="s">
        <v>270</v>
      </c>
      <c r="C258" s="229" t="s">
        <v>276</v>
      </c>
      <c r="D258" s="136">
        <v>84</v>
      </c>
      <c r="E258" s="136">
        <v>20</v>
      </c>
      <c r="F258" s="153">
        <v>390</v>
      </c>
      <c r="G258" s="153">
        <v>104</v>
      </c>
      <c r="H258" s="136">
        <v>161</v>
      </c>
      <c r="I258" s="136">
        <v>24</v>
      </c>
      <c r="J258" s="136">
        <v>318</v>
      </c>
      <c r="K258" s="136">
        <v>57</v>
      </c>
      <c r="L258" s="136">
        <v>11</v>
      </c>
      <c r="M258" s="136">
        <v>3</v>
      </c>
      <c r="N258" s="136">
        <v>7</v>
      </c>
      <c r="O258" s="136">
        <v>0</v>
      </c>
      <c r="P258" s="136">
        <v>3</v>
      </c>
      <c r="Q258" s="136">
        <v>0</v>
      </c>
      <c r="R258" s="136">
        <v>0</v>
      </c>
      <c r="S258" s="136">
        <v>0</v>
      </c>
      <c r="T258" s="136">
        <v>20</v>
      </c>
      <c r="U258" s="136">
        <v>5</v>
      </c>
      <c r="V258" s="136">
        <v>14</v>
      </c>
      <c r="W258" s="136">
        <v>6</v>
      </c>
    </row>
    <row r="259" spans="1:23" ht="72.75" customHeight="1">
      <c r="A259" s="230" t="s">
        <v>295</v>
      </c>
      <c r="B259" s="230" t="s">
        <v>270</v>
      </c>
      <c r="C259" s="229" t="s">
        <v>55</v>
      </c>
      <c r="D259" s="136">
        <v>100</v>
      </c>
      <c r="E259" s="136">
        <v>84</v>
      </c>
      <c r="F259" s="153">
        <v>551</v>
      </c>
      <c r="G259" s="153">
        <v>429</v>
      </c>
      <c r="H259" s="136">
        <v>292</v>
      </c>
      <c r="I259" s="136">
        <v>255</v>
      </c>
      <c r="J259" s="136">
        <v>943</v>
      </c>
      <c r="K259" s="136">
        <v>507</v>
      </c>
      <c r="L259" s="136">
        <v>5</v>
      </c>
      <c r="M259" s="136">
        <v>7</v>
      </c>
      <c r="N259" s="136">
        <v>18</v>
      </c>
      <c r="O259" s="136">
        <v>1</v>
      </c>
      <c r="P259" s="136">
        <v>7</v>
      </c>
      <c r="Q259" s="136">
        <v>3</v>
      </c>
      <c r="R259" s="136">
        <v>1</v>
      </c>
      <c r="S259" s="136">
        <v>0</v>
      </c>
      <c r="T259" s="136">
        <v>15</v>
      </c>
      <c r="U259" s="136">
        <v>20</v>
      </c>
      <c r="V259" s="136">
        <v>31</v>
      </c>
      <c r="W259" s="136">
        <v>12</v>
      </c>
    </row>
    <row r="260" spans="1:23" ht="72.75" customHeight="1">
      <c r="A260" s="230" t="s">
        <v>295</v>
      </c>
      <c r="B260" s="230" t="s">
        <v>277</v>
      </c>
      <c r="C260" s="229" t="s">
        <v>278</v>
      </c>
      <c r="D260" s="136">
        <v>18</v>
      </c>
      <c r="E260" s="136">
        <v>61</v>
      </c>
      <c r="F260" s="153">
        <v>199</v>
      </c>
      <c r="G260" s="153">
        <v>415</v>
      </c>
      <c r="H260" s="136">
        <v>185</v>
      </c>
      <c r="I260" s="136">
        <v>253</v>
      </c>
      <c r="J260" s="136">
        <v>251</v>
      </c>
      <c r="K260" s="136">
        <v>352</v>
      </c>
      <c r="L260" s="136">
        <v>3</v>
      </c>
      <c r="M260" s="136">
        <v>1</v>
      </c>
      <c r="N260" s="136">
        <v>5</v>
      </c>
      <c r="O260" s="136">
        <v>8</v>
      </c>
      <c r="P260" s="136">
        <v>1</v>
      </c>
      <c r="Q260" s="136">
        <v>3</v>
      </c>
      <c r="R260" s="136">
        <v>0</v>
      </c>
      <c r="S260" s="136">
        <v>1</v>
      </c>
      <c r="T260" s="136">
        <v>9</v>
      </c>
      <c r="U260" s="136">
        <v>23</v>
      </c>
      <c r="V260" s="136">
        <v>14</v>
      </c>
      <c r="W260" s="136">
        <v>33</v>
      </c>
    </row>
    <row r="261" spans="1:23" ht="72.75" customHeight="1">
      <c r="A261" s="230" t="s">
        <v>295</v>
      </c>
      <c r="B261" s="230" t="s">
        <v>277</v>
      </c>
      <c r="C261" s="229" t="s">
        <v>279</v>
      </c>
      <c r="D261" s="136">
        <v>33</v>
      </c>
      <c r="E261" s="136">
        <v>115</v>
      </c>
      <c r="F261" s="153">
        <v>122</v>
      </c>
      <c r="G261" s="153">
        <v>434</v>
      </c>
      <c r="H261" s="136">
        <v>58</v>
      </c>
      <c r="I261" s="136">
        <v>243</v>
      </c>
      <c r="J261" s="136">
        <v>66</v>
      </c>
      <c r="K261" s="136">
        <v>285</v>
      </c>
      <c r="L261" s="136">
        <v>1</v>
      </c>
      <c r="M261" s="136">
        <v>2</v>
      </c>
      <c r="N261" s="136">
        <v>2</v>
      </c>
      <c r="O261" s="136">
        <v>11</v>
      </c>
      <c r="P261" s="136">
        <v>4</v>
      </c>
      <c r="Q261" s="136">
        <v>12</v>
      </c>
      <c r="R261" s="136">
        <v>0</v>
      </c>
      <c r="S261" s="136">
        <v>0</v>
      </c>
      <c r="T261" s="136">
        <v>7</v>
      </c>
      <c r="U261" s="136">
        <v>21</v>
      </c>
      <c r="V261" s="136">
        <v>4</v>
      </c>
      <c r="W261" s="136">
        <v>25</v>
      </c>
    </row>
    <row r="262" spans="1:23" ht="72.75" customHeight="1">
      <c r="A262" s="230" t="s">
        <v>295</v>
      </c>
      <c r="B262" s="230" t="s">
        <v>277</v>
      </c>
      <c r="C262" s="229" t="s">
        <v>280</v>
      </c>
      <c r="D262" s="136">
        <v>7</v>
      </c>
      <c r="E262" s="136">
        <v>20</v>
      </c>
      <c r="F262" s="153">
        <v>67</v>
      </c>
      <c r="G262" s="153">
        <v>178</v>
      </c>
      <c r="H262" s="136">
        <v>39</v>
      </c>
      <c r="I262" s="136">
        <v>134</v>
      </c>
      <c r="J262" s="136">
        <v>49</v>
      </c>
      <c r="K262" s="136">
        <v>123</v>
      </c>
      <c r="L262" s="136">
        <v>0</v>
      </c>
      <c r="M262" s="136">
        <v>2</v>
      </c>
      <c r="N262" s="136">
        <v>3</v>
      </c>
      <c r="O262" s="136">
        <v>6</v>
      </c>
      <c r="P262" s="136">
        <v>0</v>
      </c>
      <c r="Q262" s="136">
        <v>1</v>
      </c>
      <c r="R262" s="136">
        <v>0</v>
      </c>
      <c r="S262" s="136">
        <v>1</v>
      </c>
      <c r="T262" s="136">
        <v>6</v>
      </c>
      <c r="U262" s="136">
        <v>18</v>
      </c>
      <c r="V262" s="136">
        <v>6</v>
      </c>
      <c r="W262" s="136">
        <v>15</v>
      </c>
    </row>
    <row r="263" spans="1:23" ht="72.75" customHeight="1">
      <c r="A263" s="230" t="s">
        <v>295</v>
      </c>
      <c r="B263" s="230" t="s">
        <v>277</v>
      </c>
      <c r="C263" s="229" t="s">
        <v>281</v>
      </c>
      <c r="D263" s="136">
        <v>48</v>
      </c>
      <c r="E263" s="136">
        <v>81</v>
      </c>
      <c r="F263" s="153">
        <v>186</v>
      </c>
      <c r="G263" s="153">
        <v>292</v>
      </c>
      <c r="H263" s="136">
        <v>106</v>
      </c>
      <c r="I263" s="136">
        <v>143</v>
      </c>
      <c r="J263" s="136">
        <v>128</v>
      </c>
      <c r="K263" s="136">
        <v>291</v>
      </c>
      <c r="L263" s="136">
        <v>7</v>
      </c>
      <c r="M263" s="136">
        <v>7</v>
      </c>
      <c r="N263" s="136">
        <v>4</v>
      </c>
      <c r="O263" s="136">
        <v>5</v>
      </c>
      <c r="P263" s="136">
        <v>1</v>
      </c>
      <c r="Q263" s="136">
        <v>1</v>
      </c>
      <c r="R263" s="136">
        <v>1</v>
      </c>
      <c r="S263" s="136">
        <v>2</v>
      </c>
      <c r="T263" s="136">
        <v>13</v>
      </c>
      <c r="U263" s="136">
        <v>23</v>
      </c>
      <c r="V263" s="136">
        <v>10</v>
      </c>
      <c r="W263" s="136">
        <v>11</v>
      </c>
    </row>
    <row r="264" spans="1:23" ht="72.75" customHeight="1">
      <c r="A264" s="230" t="s">
        <v>295</v>
      </c>
      <c r="B264" s="230" t="s">
        <v>282</v>
      </c>
      <c r="C264" s="229" t="s">
        <v>246</v>
      </c>
      <c r="D264" s="136">
        <v>41</v>
      </c>
      <c r="E264" s="136">
        <v>79</v>
      </c>
      <c r="F264" s="153">
        <v>166</v>
      </c>
      <c r="G264" s="153">
        <v>358</v>
      </c>
      <c r="H264" s="136">
        <v>107</v>
      </c>
      <c r="I264" s="136">
        <v>162</v>
      </c>
      <c r="J264" s="136">
        <v>248</v>
      </c>
      <c r="K264" s="136">
        <v>339</v>
      </c>
      <c r="L264" s="136">
        <v>4</v>
      </c>
      <c r="M264" s="136">
        <v>10</v>
      </c>
      <c r="N264" s="136">
        <v>1</v>
      </c>
      <c r="O264" s="136">
        <v>7</v>
      </c>
      <c r="P264" s="136">
        <v>0</v>
      </c>
      <c r="Q264" s="136">
        <v>0</v>
      </c>
      <c r="R264" s="136">
        <v>5</v>
      </c>
      <c r="S264" s="136">
        <v>2</v>
      </c>
      <c r="T264" s="136">
        <v>13</v>
      </c>
      <c r="U264" s="136">
        <v>45</v>
      </c>
      <c r="V264" s="136">
        <v>17</v>
      </c>
      <c r="W264" s="136">
        <v>26</v>
      </c>
    </row>
    <row r="265" spans="1:23" ht="72.75" customHeight="1">
      <c r="A265" s="230" t="s">
        <v>295</v>
      </c>
      <c r="B265" s="230" t="s">
        <v>282</v>
      </c>
      <c r="C265" s="229" t="s">
        <v>926</v>
      </c>
      <c r="D265" s="136">
        <v>29</v>
      </c>
      <c r="E265" s="136">
        <v>49</v>
      </c>
      <c r="F265" s="153">
        <v>136</v>
      </c>
      <c r="G265" s="153">
        <v>214</v>
      </c>
      <c r="H265" s="136">
        <v>138</v>
      </c>
      <c r="I265" s="136">
        <v>165</v>
      </c>
      <c r="J265" s="136">
        <v>232</v>
      </c>
      <c r="K265" s="136">
        <v>212</v>
      </c>
      <c r="L265" s="136">
        <v>8</v>
      </c>
      <c r="M265" s="136">
        <v>6</v>
      </c>
      <c r="N265" s="136">
        <v>2</v>
      </c>
      <c r="O265" s="136">
        <v>7</v>
      </c>
      <c r="P265" s="136">
        <v>0</v>
      </c>
      <c r="Q265" s="136">
        <v>0</v>
      </c>
      <c r="R265" s="136">
        <v>0</v>
      </c>
      <c r="S265" s="136">
        <v>0</v>
      </c>
      <c r="T265" s="136">
        <v>11</v>
      </c>
      <c r="U265" s="136">
        <v>23</v>
      </c>
      <c r="V265" s="136">
        <v>11</v>
      </c>
      <c r="W265" s="136">
        <v>26</v>
      </c>
    </row>
    <row r="266" spans="1:23" ht="72.75" customHeight="1">
      <c r="A266" s="230" t="s">
        <v>295</v>
      </c>
      <c r="B266" s="230" t="s">
        <v>284</v>
      </c>
      <c r="C266" s="229" t="s">
        <v>285</v>
      </c>
      <c r="D266" s="136">
        <v>88</v>
      </c>
      <c r="E266" s="136">
        <v>289</v>
      </c>
      <c r="F266" s="153">
        <v>345</v>
      </c>
      <c r="G266" s="153">
        <v>1076</v>
      </c>
      <c r="H266" s="136">
        <v>203</v>
      </c>
      <c r="I266" s="136">
        <v>308</v>
      </c>
      <c r="J266" s="136">
        <v>277</v>
      </c>
      <c r="K266" s="136">
        <v>514</v>
      </c>
      <c r="L266" s="136">
        <v>6</v>
      </c>
      <c r="M266" s="136">
        <v>8</v>
      </c>
      <c r="N266" s="136">
        <v>9</v>
      </c>
      <c r="O266" s="136">
        <v>17</v>
      </c>
      <c r="P266" s="136">
        <v>0</v>
      </c>
      <c r="Q266" s="136">
        <v>2</v>
      </c>
      <c r="R266" s="136">
        <v>5</v>
      </c>
      <c r="S266" s="136">
        <v>22</v>
      </c>
      <c r="T266" s="136">
        <v>60</v>
      </c>
      <c r="U266" s="136">
        <v>173</v>
      </c>
      <c r="V266" s="136">
        <v>17</v>
      </c>
      <c r="W266" s="136">
        <v>36</v>
      </c>
    </row>
    <row r="267" spans="1:23" ht="72.75" customHeight="1">
      <c r="A267" s="230" t="s">
        <v>295</v>
      </c>
      <c r="B267" s="230" t="s">
        <v>284</v>
      </c>
      <c r="C267" s="229" t="s">
        <v>286</v>
      </c>
      <c r="D267" s="136">
        <v>26</v>
      </c>
      <c r="E267" s="136">
        <v>129</v>
      </c>
      <c r="F267" s="153">
        <v>83</v>
      </c>
      <c r="G267" s="153">
        <v>449</v>
      </c>
      <c r="H267" s="136">
        <v>13</v>
      </c>
      <c r="I267" s="136">
        <v>26</v>
      </c>
      <c r="J267" s="136">
        <v>40</v>
      </c>
      <c r="K267" s="136">
        <v>78</v>
      </c>
      <c r="L267" s="136">
        <v>1</v>
      </c>
      <c r="M267" s="136">
        <v>5</v>
      </c>
      <c r="N267" s="136">
        <v>2</v>
      </c>
      <c r="O267" s="136">
        <v>4</v>
      </c>
      <c r="P267" s="136">
        <v>0</v>
      </c>
      <c r="Q267" s="136">
        <v>0</v>
      </c>
      <c r="R267" s="136">
        <v>15</v>
      </c>
      <c r="S267" s="136">
        <v>67</v>
      </c>
      <c r="T267" s="136">
        <v>9</v>
      </c>
      <c r="U267" s="136">
        <v>43</v>
      </c>
      <c r="V267" s="136">
        <v>2</v>
      </c>
      <c r="W267" s="136">
        <v>8</v>
      </c>
    </row>
    <row r="268" spans="1:23" ht="72.75" customHeight="1">
      <c r="A268" s="230" t="s">
        <v>295</v>
      </c>
      <c r="B268" s="230" t="s">
        <v>284</v>
      </c>
      <c r="C268" s="229" t="s">
        <v>287</v>
      </c>
      <c r="D268" s="136">
        <v>4</v>
      </c>
      <c r="E268" s="136">
        <v>152</v>
      </c>
      <c r="F268" s="153">
        <v>10</v>
      </c>
      <c r="G268" s="153">
        <v>597</v>
      </c>
      <c r="H268" s="136">
        <v>1</v>
      </c>
      <c r="I268" s="136">
        <v>156</v>
      </c>
      <c r="J268" s="136">
        <v>5</v>
      </c>
      <c r="K268" s="136">
        <v>147</v>
      </c>
      <c r="L268" s="136">
        <v>1</v>
      </c>
      <c r="M268" s="136">
        <v>13</v>
      </c>
      <c r="N268" s="136">
        <v>0</v>
      </c>
      <c r="O268" s="136">
        <v>6</v>
      </c>
      <c r="P268" s="136">
        <v>0</v>
      </c>
      <c r="Q268" s="136">
        <v>2</v>
      </c>
      <c r="R268" s="136">
        <v>0</v>
      </c>
      <c r="S268" s="136">
        <v>0</v>
      </c>
      <c r="T268" s="136">
        <v>3</v>
      </c>
      <c r="U268" s="136">
        <v>105</v>
      </c>
      <c r="V268" s="136">
        <v>0</v>
      </c>
      <c r="W268" s="136">
        <v>20</v>
      </c>
    </row>
    <row r="269" spans="1:23" ht="72.75" customHeight="1">
      <c r="A269" s="230" t="s">
        <v>295</v>
      </c>
      <c r="B269" s="230" t="s">
        <v>284</v>
      </c>
      <c r="C269" s="229" t="s">
        <v>288</v>
      </c>
      <c r="D269" s="136">
        <v>44</v>
      </c>
      <c r="E269" s="136">
        <v>151</v>
      </c>
      <c r="F269" s="153">
        <v>190</v>
      </c>
      <c r="G269" s="153">
        <v>656</v>
      </c>
      <c r="H269" s="136">
        <v>47</v>
      </c>
      <c r="I269" s="136">
        <v>108</v>
      </c>
      <c r="J269" s="136">
        <v>80</v>
      </c>
      <c r="K269" s="136">
        <v>210</v>
      </c>
      <c r="L269" s="136">
        <v>8</v>
      </c>
      <c r="M269" s="136">
        <v>35</v>
      </c>
      <c r="N269" s="136">
        <v>7</v>
      </c>
      <c r="O269" s="136">
        <v>1</v>
      </c>
      <c r="P269" s="136">
        <v>0</v>
      </c>
      <c r="Q269" s="136">
        <v>3</v>
      </c>
      <c r="R269" s="136">
        <v>12</v>
      </c>
      <c r="S269" s="136">
        <v>40</v>
      </c>
      <c r="T269" s="136">
        <v>14</v>
      </c>
      <c r="U269" s="136">
        <v>91</v>
      </c>
      <c r="V269" s="136">
        <v>5</v>
      </c>
      <c r="W269" s="136">
        <v>15</v>
      </c>
    </row>
    <row r="270" spans="1:23" ht="72.75" customHeight="1">
      <c r="A270" s="230" t="s">
        <v>295</v>
      </c>
      <c r="B270" s="230" t="s">
        <v>284</v>
      </c>
      <c r="C270" s="229" t="s">
        <v>289</v>
      </c>
      <c r="D270" s="136">
        <v>105</v>
      </c>
      <c r="E270" s="136">
        <v>81</v>
      </c>
      <c r="F270" s="153">
        <v>404</v>
      </c>
      <c r="G270" s="153">
        <v>341</v>
      </c>
      <c r="H270" s="136">
        <v>92</v>
      </c>
      <c r="I270" s="136">
        <v>68</v>
      </c>
      <c r="J270" s="136">
        <v>109</v>
      </c>
      <c r="K270" s="136">
        <v>99</v>
      </c>
      <c r="L270" s="136">
        <v>18</v>
      </c>
      <c r="M270" s="136">
        <v>15</v>
      </c>
      <c r="N270" s="136">
        <v>5</v>
      </c>
      <c r="O270" s="136">
        <v>1</v>
      </c>
      <c r="P270" s="136">
        <v>4</v>
      </c>
      <c r="Q270" s="136">
        <v>1</v>
      </c>
      <c r="R270" s="136">
        <v>0</v>
      </c>
      <c r="S270" s="136">
        <v>0</v>
      </c>
      <c r="T270" s="136">
        <v>43</v>
      </c>
      <c r="U270" s="136">
        <v>41</v>
      </c>
      <c r="V270" s="136">
        <v>10</v>
      </c>
      <c r="W270" s="136">
        <v>7</v>
      </c>
    </row>
    <row r="271" spans="1:23" ht="72.75" customHeight="1">
      <c r="A271" s="230" t="s">
        <v>295</v>
      </c>
      <c r="B271" s="230" t="s">
        <v>290</v>
      </c>
      <c r="C271" s="229" t="s">
        <v>291</v>
      </c>
      <c r="D271" s="136">
        <v>45</v>
      </c>
      <c r="E271" s="136">
        <v>173</v>
      </c>
      <c r="F271" s="153">
        <v>164</v>
      </c>
      <c r="G271" s="153">
        <v>585</v>
      </c>
      <c r="H271" s="136">
        <v>62</v>
      </c>
      <c r="I271" s="136">
        <v>138</v>
      </c>
      <c r="J271" s="136">
        <v>85</v>
      </c>
      <c r="K271" s="136">
        <v>241</v>
      </c>
      <c r="L271" s="136">
        <v>1</v>
      </c>
      <c r="M271" s="136">
        <v>2</v>
      </c>
      <c r="N271" s="136">
        <v>1</v>
      </c>
      <c r="O271" s="136">
        <v>3</v>
      </c>
      <c r="P271" s="136">
        <v>2</v>
      </c>
      <c r="Q271" s="136">
        <v>0</v>
      </c>
      <c r="R271" s="136">
        <v>0</v>
      </c>
      <c r="S271" s="136">
        <v>0</v>
      </c>
      <c r="T271" s="136">
        <v>12</v>
      </c>
      <c r="U271" s="136">
        <v>72</v>
      </c>
      <c r="V271" s="136">
        <v>3</v>
      </c>
      <c r="W271" s="136">
        <v>6</v>
      </c>
    </row>
    <row r="272" spans="1:23" ht="72.75" customHeight="1">
      <c r="A272" s="254" t="s">
        <v>349</v>
      </c>
      <c r="B272" s="230" t="s">
        <v>141</v>
      </c>
      <c r="C272" s="229" t="s">
        <v>876</v>
      </c>
      <c r="D272" s="245">
        <v>76</v>
      </c>
      <c r="E272" s="245">
        <v>15</v>
      </c>
      <c r="F272" s="245">
        <v>261</v>
      </c>
      <c r="G272" s="245">
        <v>48</v>
      </c>
      <c r="H272" s="245">
        <v>101</v>
      </c>
      <c r="I272" s="245">
        <v>14</v>
      </c>
      <c r="J272" s="245">
        <v>110</v>
      </c>
      <c r="K272" s="245">
        <v>14</v>
      </c>
      <c r="L272" s="245">
        <v>82</v>
      </c>
      <c r="M272" s="245">
        <v>19</v>
      </c>
      <c r="N272" s="245">
        <v>2</v>
      </c>
      <c r="O272" s="245">
        <v>1</v>
      </c>
      <c r="P272" s="245">
        <v>2</v>
      </c>
      <c r="Q272" s="245">
        <v>0</v>
      </c>
      <c r="R272" s="245">
        <v>2</v>
      </c>
      <c r="S272" s="245">
        <v>1</v>
      </c>
      <c r="T272" s="245">
        <v>20</v>
      </c>
      <c r="U272" s="245">
        <v>2</v>
      </c>
      <c r="V272" s="245">
        <v>7</v>
      </c>
      <c r="W272" s="245">
        <v>1</v>
      </c>
    </row>
    <row r="273" spans="1:23" ht="72.75" customHeight="1">
      <c r="A273" s="254" t="s">
        <v>349</v>
      </c>
      <c r="B273" s="230" t="s">
        <v>141</v>
      </c>
      <c r="C273" s="229" t="s">
        <v>877</v>
      </c>
      <c r="D273" s="245">
        <v>11</v>
      </c>
      <c r="E273" s="245">
        <v>3</v>
      </c>
      <c r="F273" s="245">
        <v>258</v>
      </c>
      <c r="G273" s="245">
        <v>80</v>
      </c>
      <c r="H273" s="245">
        <v>0</v>
      </c>
      <c r="I273" s="245">
        <v>0</v>
      </c>
      <c r="J273" s="245">
        <v>0</v>
      </c>
      <c r="K273" s="245">
        <v>0</v>
      </c>
      <c r="L273" s="245">
        <v>4</v>
      </c>
      <c r="M273" s="245">
        <v>0</v>
      </c>
      <c r="N273" s="245">
        <v>2</v>
      </c>
      <c r="O273" s="245">
        <v>0</v>
      </c>
      <c r="P273" s="245">
        <v>1</v>
      </c>
      <c r="Q273" s="245">
        <v>0</v>
      </c>
      <c r="R273" s="245">
        <v>0</v>
      </c>
      <c r="S273" s="245">
        <v>0</v>
      </c>
      <c r="T273" s="245">
        <v>0</v>
      </c>
      <c r="U273" s="245">
        <v>0</v>
      </c>
      <c r="V273" s="245">
        <v>0</v>
      </c>
      <c r="W273" s="245">
        <v>0</v>
      </c>
    </row>
    <row r="274" spans="1:23" ht="72.75" customHeight="1">
      <c r="A274" s="254" t="s">
        <v>349</v>
      </c>
      <c r="B274" s="230" t="s">
        <v>141</v>
      </c>
      <c r="C274" s="229" t="s">
        <v>878</v>
      </c>
      <c r="D274" s="245">
        <v>114</v>
      </c>
      <c r="E274" s="245">
        <v>68</v>
      </c>
      <c r="F274" s="245">
        <v>393</v>
      </c>
      <c r="G274" s="245">
        <v>244</v>
      </c>
      <c r="H274" s="245">
        <v>0</v>
      </c>
      <c r="I274" s="245">
        <v>0</v>
      </c>
      <c r="J274" s="245">
        <v>0</v>
      </c>
      <c r="K274" s="245">
        <v>0</v>
      </c>
      <c r="L274" s="245">
        <v>19</v>
      </c>
      <c r="M274" s="245">
        <v>9</v>
      </c>
      <c r="N274" s="245">
        <v>7</v>
      </c>
      <c r="O274" s="245">
        <v>4</v>
      </c>
      <c r="P274" s="245">
        <v>0</v>
      </c>
      <c r="Q274" s="245">
        <v>1</v>
      </c>
      <c r="R274" s="245">
        <v>0</v>
      </c>
      <c r="S274" s="245">
        <v>0</v>
      </c>
      <c r="T274" s="245">
        <v>0</v>
      </c>
      <c r="U274" s="245">
        <v>0</v>
      </c>
      <c r="V274" s="245">
        <v>0</v>
      </c>
      <c r="W274" s="245">
        <v>0</v>
      </c>
    </row>
    <row r="275" spans="1:23" ht="72.75" customHeight="1">
      <c r="A275" s="254" t="s">
        <v>349</v>
      </c>
      <c r="B275" s="230" t="s">
        <v>141</v>
      </c>
      <c r="C275" s="229" t="s">
        <v>52</v>
      </c>
      <c r="D275" s="245">
        <v>30</v>
      </c>
      <c r="E275" s="245">
        <v>6</v>
      </c>
      <c r="F275" s="245">
        <v>285</v>
      </c>
      <c r="G275" s="245">
        <v>58</v>
      </c>
      <c r="H275" s="245">
        <v>171</v>
      </c>
      <c r="I275" s="245">
        <v>26</v>
      </c>
      <c r="J275" s="245">
        <v>166</v>
      </c>
      <c r="K275" s="245">
        <v>27</v>
      </c>
      <c r="L275" s="245">
        <v>19</v>
      </c>
      <c r="M275" s="245">
        <v>6</v>
      </c>
      <c r="N275" s="245">
        <v>8</v>
      </c>
      <c r="O275" s="245">
        <v>2</v>
      </c>
      <c r="P275" s="245">
        <v>3</v>
      </c>
      <c r="Q275" s="245">
        <v>1</v>
      </c>
      <c r="R275" s="245">
        <v>10</v>
      </c>
      <c r="S275" s="245">
        <v>5</v>
      </c>
      <c r="T275" s="245">
        <v>46</v>
      </c>
      <c r="U275" s="245">
        <v>12</v>
      </c>
      <c r="V275" s="245">
        <v>18</v>
      </c>
      <c r="W275" s="245">
        <v>1</v>
      </c>
    </row>
    <row r="276" spans="1:23" ht="72.75" customHeight="1">
      <c r="A276" s="254" t="s">
        <v>349</v>
      </c>
      <c r="B276" s="230" t="s">
        <v>141</v>
      </c>
      <c r="C276" s="229" t="s">
        <v>56</v>
      </c>
      <c r="D276" s="245">
        <v>16</v>
      </c>
      <c r="E276" s="245">
        <v>27</v>
      </c>
      <c r="F276" s="245">
        <v>85</v>
      </c>
      <c r="G276" s="245">
        <v>94</v>
      </c>
      <c r="H276" s="245">
        <v>43</v>
      </c>
      <c r="I276" s="245">
        <v>21</v>
      </c>
      <c r="J276" s="245">
        <v>0</v>
      </c>
      <c r="K276" s="245">
        <v>0</v>
      </c>
      <c r="L276" s="245">
        <v>25</v>
      </c>
      <c r="M276" s="245">
        <v>45</v>
      </c>
      <c r="N276" s="245">
        <v>0</v>
      </c>
      <c r="O276" s="245">
        <v>0</v>
      </c>
      <c r="P276" s="245">
        <v>0</v>
      </c>
      <c r="Q276" s="245">
        <v>0</v>
      </c>
      <c r="R276" s="245">
        <v>2</v>
      </c>
      <c r="S276" s="245">
        <v>3</v>
      </c>
      <c r="T276" s="245">
        <v>29</v>
      </c>
      <c r="U276" s="245">
        <v>20</v>
      </c>
      <c r="V276" s="245">
        <v>0</v>
      </c>
      <c r="W276" s="245">
        <v>0</v>
      </c>
    </row>
    <row r="277" spans="1:23" ht="72.75" customHeight="1">
      <c r="A277" s="254" t="s">
        <v>349</v>
      </c>
      <c r="B277" s="230" t="s">
        <v>38</v>
      </c>
      <c r="C277" s="229" t="s">
        <v>879</v>
      </c>
      <c r="D277" s="245">
        <v>0</v>
      </c>
      <c r="E277" s="245">
        <v>0</v>
      </c>
      <c r="F277" s="245">
        <v>347</v>
      </c>
      <c r="G277" s="245">
        <v>191</v>
      </c>
      <c r="H277" s="245">
        <v>0</v>
      </c>
      <c r="I277" s="245">
        <v>0</v>
      </c>
      <c r="J277" s="245">
        <v>0</v>
      </c>
      <c r="K277" s="245">
        <v>0</v>
      </c>
      <c r="L277" s="245">
        <v>9</v>
      </c>
      <c r="M277" s="245">
        <v>3</v>
      </c>
      <c r="N277" s="245">
        <v>2</v>
      </c>
      <c r="O277" s="245">
        <v>1</v>
      </c>
      <c r="P277" s="245">
        <v>0</v>
      </c>
      <c r="Q277" s="245">
        <v>0</v>
      </c>
      <c r="R277" s="245">
        <v>13</v>
      </c>
      <c r="S277" s="245">
        <v>19</v>
      </c>
      <c r="T277" s="245">
        <v>9</v>
      </c>
      <c r="U277" s="245">
        <v>9</v>
      </c>
      <c r="V277" s="245">
        <v>0</v>
      </c>
      <c r="W277" s="245">
        <v>0</v>
      </c>
    </row>
    <row r="278" spans="1:23" ht="72.75" customHeight="1">
      <c r="A278" s="254" t="s">
        <v>349</v>
      </c>
      <c r="B278" s="230" t="s">
        <v>38</v>
      </c>
      <c r="C278" s="229" t="s">
        <v>155</v>
      </c>
      <c r="D278" s="245">
        <v>79</v>
      </c>
      <c r="E278" s="245">
        <v>50</v>
      </c>
      <c r="F278" s="245">
        <v>578</v>
      </c>
      <c r="G278" s="245">
        <v>267</v>
      </c>
      <c r="H278" s="245">
        <v>578</v>
      </c>
      <c r="I278" s="245">
        <v>267</v>
      </c>
      <c r="J278" s="245">
        <v>0</v>
      </c>
      <c r="K278" s="245">
        <v>0</v>
      </c>
      <c r="L278" s="245">
        <v>19</v>
      </c>
      <c r="M278" s="245">
        <v>7</v>
      </c>
      <c r="N278" s="245">
        <v>8</v>
      </c>
      <c r="O278" s="245">
        <v>9</v>
      </c>
      <c r="P278" s="245">
        <v>1</v>
      </c>
      <c r="Q278" s="245">
        <v>0</v>
      </c>
      <c r="R278" s="245">
        <v>0</v>
      </c>
      <c r="S278" s="245">
        <v>0</v>
      </c>
      <c r="T278" s="245">
        <v>0</v>
      </c>
      <c r="U278" s="245">
        <v>0</v>
      </c>
      <c r="V278" s="245">
        <v>0</v>
      </c>
      <c r="W278" s="245">
        <v>0</v>
      </c>
    </row>
    <row r="279" spans="1:23" ht="72.75" customHeight="1">
      <c r="A279" s="254" t="s">
        <v>349</v>
      </c>
      <c r="B279" s="230" t="s">
        <v>38</v>
      </c>
      <c r="C279" s="229" t="s">
        <v>684</v>
      </c>
      <c r="D279" s="245">
        <v>52</v>
      </c>
      <c r="E279" s="245">
        <v>57</v>
      </c>
      <c r="F279" s="245">
        <v>440</v>
      </c>
      <c r="G279" s="245">
        <v>319</v>
      </c>
      <c r="H279" s="245">
        <v>12</v>
      </c>
      <c r="I279" s="245">
        <v>9</v>
      </c>
      <c r="J279" s="245">
        <v>20</v>
      </c>
      <c r="K279" s="245">
        <v>12</v>
      </c>
      <c r="L279" s="245">
        <v>17</v>
      </c>
      <c r="M279" s="245">
        <v>13</v>
      </c>
      <c r="N279" s="245">
        <v>3</v>
      </c>
      <c r="O279" s="245">
        <v>1</v>
      </c>
      <c r="P279" s="245">
        <v>0</v>
      </c>
      <c r="Q279" s="245">
        <v>0</v>
      </c>
      <c r="R279" s="245">
        <v>4</v>
      </c>
      <c r="S279" s="245">
        <v>4</v>
      </c>
      <c r="T279" s="245">
        <v>0</v>
      </c>
      <c r="U279" s="245">
        <v>0</v>
      </c>
      <c r="V279" s="245">
        <v>60</v>
      </c>
      <c r="W279" s="245">
        <v>69</v>
      </c>
    </row>
    <row r="280" spans="1:23" ht="72.75" customHeight="1">
      <c r="A280" s="254" t="s">
        <v>349</v>
      </c>
      <c r="B280" s="230" t="s">
        <v>38</v>
      </c>
      <c r="C280" s="229" t="s">
        <v>880</v>
      </c>
      <c r="D280" s="245">
        <v>67</v>
      </c>
      <c r="E280" s="245">
        <v>81</v>
      </c>
      <c r="F280" s="245">
        <v>373</v>
      </c>
      <c r="G280" s="245">
        <v>372</v>
      </c>
      <c r="H280" s="245">
        <v>0</v>
      </c>
      <c r="I280" s="245">
        <v>0</v>
      </c>
      <c r="J280" s="245">
        <v>0</v>
      </c>
      <c r="K280" s="245">
        <v>0</v>
      </c>
      <c r="L280" s="245">
        <v>12</v>
      </c>
      <c r="M280" s="245">
        <v>19</v>
      </c>
      <c r="N280" s="245">
        <v>5</v>
      </c>
      <c r="O280" s="245">
        <v>2</v>
      </c>
      <c r="P280" s="245">
        <v>0</v>
      </c>
      <c r="Q280" s="245">
        <v>0</v>
      </c>
      <c r="R280" s="245">
        <v>5</v>
      </c>
      <c r="S280" s="245">
        <v>7</v>
      </c>
      <c r="T280" s="245">
        <v>15</v>
      </c>
      <c r="U280" s="245">
        <v>24</v>
      </c>
      <c r="V280" s="245">
        <v>0</v>
      </c>
      <c r="W280" s="245">
        <v>0</v>
      </c>
    </row>
    <row r="281" spans="1:23" ht="72.75" customHeight="1">
      <c r="A281" s="254" t="s">
        <v>349</v>
      </c>
      <c r="B281" s="230" t="s">
        <v>38</v>
      </c>
      <c r="C281" s="229" t="s">
        <v>881</v>
      </c>
      <c r="D281" s="245">
        <v>22</v>
      </c>
      <c r="E281" s="245">
        <v>28</v>
      </c>
      <c r="F281" s="245">
        <v>253</v>
      </c>
      <c r="G281" s="245">
        <v>255</v>
      </c>
      <c r="H281" s="245">
        <v>12</v>
      </c>
      <c r="I281" s="245">
        <v>16</v>
      </c>
      <c r="J281" s="245">
        <v>0</v>
      </c>
      <c r="K281" s="245">
        <v>0</v>
      </c>
      <c r="L281" s="245">
        <v>19</v>
      </c>
      <c r="M281" s="245">
        <v>20</v>
      </c>
      <c r="N281" s="245">
        <v>4</v>
      </c>
      <c r="O281" s="245">
        <v>6</v>
      </c>
      <c r="P281" s="245">
        <v>0</v>
      </c>
      <c r="Q281" s="245">
        <v>0</v>
      </c>
      <c r="R281" s="245">
        <v>2</v>
      </c>
      <c r="S281" s="245">
        <v>6</v>
      </c>
      <c r="T281" s="245">
        <v>27</v>
      </c>
      <c r="U281" s="245">
        <v>14</v>
      </c>
      <c r="V281" s="245">
        <v>0</v>
      </c>
      <c r="W281" s="245">
        <v>0</v>
      </c>
    </row>
    <row r="282" spans="1:23" ht="72.75" customHeight="1">
      <c r="A282" s="254" t="s">
        <v>349</v>
      </c>
      <c r="B282" s="230" t="s">
        <v>38</v>
      </c>
      <c r="C282" s="229" t="s">
        <v>882</v>
      </c>
      <c r="D282" s="245">
        <v>48</v>
      </c>
      <c r="E282" s="245">
        <v>37</v>
      </c>
      <c r="F282" s="245">
        <v>332</v>
      </c>
      <c r="G282" s="245">
        <v>223</v>
      </c>
      <c r="H282" s="245">
        <v>0</v>
      </c>
      <c r="I282" s="245">
        <v>0</v>
      </c>
      <c r="J282" s="245">
        <v>0</v>
      </c>
      <c r="K282" s="245">
        <v>0</v>
      </c>
      <c r="L282" s="245">
        <v>14</v>
      </c>
      <c r="M282" s="245">
        <v>8</v>
      </c>
      <c r="N282" s="245">
        <v>0</v>
      </c>
      <c r="O282" s="245">
        <v>0</v>
      </c>
      <c r="P282" s="245">
        <v>0</v>
      </c>
      <c r="Q282" s="245">
        <v>0</v>
      </c>
      <c r="R282" s="245">
        <v>3</v>
      </c>
      <c r="S282" s="245">
        <v>4</v>
      </c>
      <c r="T282" s="245">
        <v>0</v>
      </c>
      <c r="U282" s="245">
        <v>0</v>
      </c>
      <c r="V282" s="245">
        <v>0</v>
      </c>
      <c r="W282" s="245">
        <v>0</v>
      </c>
    </row>
    <row r="283" spans="1:23" ht="72.75" customHeight="1">
      <c r="A283" s="254" t="s">
        <v>349</v>
      </c>
      <c r="B283" s="230" t="s">
        <v>38</v>
      </c>
      <c r="C283" s="229" t="s">
        <v>883</v>
      </c>
      <c r="D283" s="245">
        <v>52</v>
      </c>
      <c r="E283" s="245">
        <v>73</v>
      </c>
      <c r="F283" s="245">
        <v>163</v>
      </c>
      <c r="G283" s="245">
        <v>159</v>
      </c>
      <c r="H283" s="245">
        <v>0</v>
      </c>
      <c r="I283" s="245">
        <v>0</v>
      </c>
      <c r="J283" s="245">
        <v>0</v>
      </c>
      <c r="K283" s="245">
        <v>0</v>
      </c>
      <c r="L283" s="245">
        <v>32</v>
      </c>
      <c r="M283" s="245">
        <v>17</v>
      </c>
      <c r="N283" s="245">
        <v>2</v>
      </c>
      <c r="O283" s="245">
        <v>1</v>
      </c>
      <c r="P283" s="245">
        <v>0</v>
      </c>
      <c r="Q283" s="245">
        <v>0</v>
      </c>
      <c r="R283" s="245">
        <v>1</v>
      </c>
      <c r="S283" s="245">
        <v>0</v>
      </c>
      <c r="T283" s="245">
        <v>0</v>
      </c>
      <c r="U283" s="245">
        <v>0</v>
      </c>
      <c r="V283" s="245">
        <v>0</v>
      </c>
      <c r="W283" s="245">
        <v>0</v>
      </c>
    </row>
    <row r="284" spans="1:23" ht="72.75" customHeight="1">
      <c r="A284" s="254" t="s">
        <v>349</v>
      </c>
      <c r="B284" s="230" t="s">
        <v>360</v>
      </c>
      <c r="C284" s="271" t="s">
        <v>884</v>
      </c>
      <c r="D284" s="245">
        <v>32</v>
      </c>
      <c r="E284" s="245">
        <v>127</v>
      </c>
      <c r="F284" s="245">
        <v>77</v>
      </c>
      <c r="G284" s="245">
        <v>386</v>
      </c>
      <c r="H284" s="245">
        <v>0</v>
      </c>
      <c r="I284" s="245">
        <v>0</v>
      </c>
      <c r="J284" s="245">
        <v>0</v>
      </c>
      <c r="K284" s="245">
        <v>0</v>
      </c>
      <c r="L284" s="245">
        <v>0</v>
      </c>
      <c r="M284" s="245">
        <v>29</v>
      </c>
      <c r="N284" s="245">
        <v>0</v>
      </c>
      <c r="O284" s="245">
        <v>4</v>
      </c>
      <c r="P284" s="245">
        <v>0</v>
      </c>
      <c r="Q284" s="245">
        <v>0</v>
      </c>
      <c r="R284" s="245">
        <v>0</v>
      </c>
      <c r="S284" s="245">
        <v>30</v>
      </c>
      <c r="T284" s="245">
        <v>0</v>
      </c>
      <c r="U284" s="245">
        <v>0</v>
      </c>
      <c r="V284" s="245">
        <v>0</v>
      </c>
      <c r="W284" s="245">
        <v>0</v>
      </c>
    </row>
    <row r="285" spans="1:23" ht="72.75" customHeight="1">
      <c r="A285" s="254" t="s">
        <v>349</v>
      </c>
      <c r="B285" s="230" t="s">
        <v>360</v>
      </c>
      <c r="C285" s="229" t="s">
        <v>735</v>
      </c>
      <c r="D285" s="245">
        <v>20</v>
      </c>
      <c r="E285" s="245">
        <v>148</v>
      </c>
      <c r="F285" s="245">
        <v>56</v>
      </c>
      <c r="G285" s="245">
        <v>557</v>
      </c>
      <c r="H285" s="245">
        <v>16</v>
      </c>
      <c r="I285" s="245">
        <v>33</v>
      </c>
      <c r="J285" s="245">
        <v>11</v>
      </c>
      <c r="K285" s="245">
        <v>46</v>
      </c>
      <c r="L285" s="245">
        <v>12</v>
      </c>
      <c r="M285" s="245">
        <v>79</v>
      </c>
      <c r="N285" s="245">
        <v>1</v>
      </c>
      <c r="O285" s="245">
        <v>5</v>
      </c>
      <c r="P285" s="245">
        <v>0</v>
      </c>
      <c r="Q285" s="245">
        <v>0</v>
      </c>
      <c r="R285" s="245">
        <v>3</v>
      </c>
      <c r="S285" s="245">
        <v>94</v>
      </c>
      <c r="T285" s="245">
        <v>2</v>
      </c>
      <c r="U285" s="245">
        <v>12</v>
      </c>
      <c r="V285" s="245">
        <v>3</v>
      </c>
      <c r="W285" s="245">
        <v>5</v>
      </c>
    </row>
    <row r="286" spans="1:23" ht="72.75" customHeight="1">
      <c r="A286" s="254" t="s">
        <v>349</v>
      </c>
      <c r="B286" s="230" t="s">
        <v>360</v>
      </c>
      <c r="C286" s="229" t="s">
        <v>736</v>
      </c>
      <c r="D286" s="245">
        <v>54</v>
      </c>
      <c r="E286" s="245">
        <v>128</v>
      </c>
      <c r="F286" s="245">
        <v>170</v>
      </c>
      <c r="G286" s="245">
        <v>397</v>
      </c>
      <c r="H286" s="245">
        <v>15</v>
      </c>
      <c r="I286" s="245">
        <v>16</v>
      </c>
      <c r="J286" s="245">
        <v>23</v>
      </c>
      <c r="K286" s="245">
        <v>43</v>
      </c>
      <c r="L286" s="245">
        <v>24</v>
      </c>
      <c r="M286" s="245">
        <v>65</v>
      </c>
      <c r="N286" s="245">
        <v>0</v>
      </c>
      <c r="O286" s="245">
        <v>0</v>
      </c>
      <c r="P286" s="245">
        <v>1</v>
      </c>
      <c r="Q286" s="245">
        <v>0</v>
      </c>
      <c r="R286" s="245">
        <v>14</v>
      </c>
      <c r="S286" s="245">
        <v>44</v>
      </c>
      <c r="T286" s="245">
        <v>11</v>
      </c>
      <c r="U286" s="245">
        <v>26</v>
      </c>
      <c r="V286" s="245">
        <v>1</v>
      </c>
      <c r="W286" s="245">
        <v>5</v>
      </c>
    </row>
    <row r="287" spans="1:23" ht="72.75" customHeight="1">
      <c r="A287" s="254" t="s">
        <v>349</v>
      </c>
      <c r="B287" s="230" t="s">
        <v>360</v>
      </c>
      <c r="C287" s="229" t="s">
        <v>885</v>
      </c>
      <c r="D287" s="245">
        <v>72</v>
      </c>
      <c r="E287" s="245">
        <v>118</v>
      </c>
      <c r="F287" s="245">
        <v>307</v>
      </c>
      <c r="G287" s="245">
        <v>420</v>
      </c>
      <c r="H287" s="245">
        <v>3</v>
      </c>
      <c r="I287" s="245">
        <v>6</v>
      </c>
      <c r="J287" s="245">
        <v>0</v>
      </c>
      <c r="K287" s="245">
        <v>2</v>
      </c>
      <c r="L287" s="245">
        <v>5</v>
      </c>
      <c r="M287" s="245">
        <v>8</v>
      </c>
      <c r="N287" s="245">
        <v>4</v>
      </c>
      <c r="O287" s="245">
        <v>10</v>
      </c>
      <c r="P287" s="245">
        <v>0</v>
      </c>
      <c r="Q287" s="245">
        <v>0</v>
      </c>
      <c r="R287" s="245">
        <v>0</v>
      </c>
      <c r="S287" s="245">
        <v>0</v>
      </c>
      <c r="T287" s="245">
        <v>1</v>
      </c>
      <c r="U287" s="245">
        <v>3</v>
      </c>
      <c r="V287" s="245">
        <v>4</v>
      </c>
      <c r="W287" s="245">
        <v>3</v>
      </c>
    </row>
    <row r="288" spans="1:23" ht="72.75" customHeight="1">
      <c r="A288" s="254" t="s">
        <v>349</v>
      </c>
      <c r="B288" s="230" t="s">
        <v>365</v>
      </c>
      <c r="C288" s="229" t="s">
        <v>58</v>
      </c>
      <c r="D288" s="245">
        <v>28</v>
      </c>
      <c r="E288" s="245">
        <v>28</v>
      </c>
      <c r="F288" s="245">
        <v>219</v>
      </c>
      <c r="G288" s="245">
        <v>283</v>
      </c>
      <c r="H288" s="245">
        <v>4</v>
      </c>
      <c r="I288" s="245">
        <v>2</v>
      </c>
      <c r="J288" s="245">
        <v>0</v>
      </c>
      <c r="K288" s="245">
        <v>1</v>
      </c>
      <c r="L288" s="245">
        <v>13</v>
      </c>
      <c r="M288" s="245">
        <v>18</v>
      </c>
      <c r="N288" s="245">
        <v>2</v>
      </c>
      <c r="O288" s="245">
        <v>3</v>
      </c>
      <c r="P288" s="245">
        <v>0</v>
      </c>
      <c r="Q288" s="245">
        <v>0</v>
      </c>
      <c r="R288" s="245">
        <v>0</v>
      </c>
      <c r="S288" s="245">
        <v>0</v>
      </c>
      <c r="T288" s="245">
        <v>0</v>
      </c>
      <c r="U288" s="245">
        <v>0</v>
      </c>
      <c r="V288" s="245">
        <v>0</v>
      </c>
      <c r="W288" s="245">
        <v>0</v>
      </c>
    </row>
    <row r="289" spans="1:23" ht="72.75" customHeight="1">
      <c r="A289" s="254" t="s">
        <v>349</v>
      </c>
      <c r="B289" s="230" t="s">
        <v>152</v>
      </c>
      <c r="C289" s="229" t="s">
        <v>33</v>
      </c>
      <c r="D289" s="245">
        <v>167</v>
      </c>
      <c r="E289" s="245">
        <v>24</v>
      </c>
      <c r="F289" s="245">
        <v>516</v>
      </c>
      <c r="G289" s="245">
        <v>104</v>
      </c>
      <c r="H289" s="245">
        <v>1</v>
      </c>
      <c r="I289" s="245">
        <v>5</v>
      </c>
      <c r="J289" s="245">
        <v>0</v>
      </c>
      <c r="K289" s="245">
        <v>0</v>
      </c>
      <c r="L289" s="245">
        <v>57</v>
      </c>
      <c r="M289" s="245">
        <v>18</v>
      </c>
      <c r="N289" s="245">
        <v>14</v>
      </c>
      <c r="O289" s="245">
        <v>2</v>
      </c>
      <c r="P289" s="245">
        <v>0</v>
      </c>
      <c r="Q289" s="245">
        <v>0</v>
      </c>
      <c r="R289" s="245">
        <v>0</v>
      </c>
      <c r="S289" s="245">
        <v>0</v>
      </c>
      <c r="T289" s="245">
        <v>8</v>
      </c>
      <c r="U289" s="245">
        <v>1</v>
      </c>
      <c r="V289" s="245">
        <v>7</v>
      </c>
      <c r="W289" s="245">
        <v>1</v>
      </c>
    </row>
    <row r="290" spans="1:23" ht="72.75" customHeight="1">
      <c r="A290" s="254" t="s">
        <v>349</v>
      </c>
      <c r="B290" s="230" t="s">
        <v>152</v>
      </c>
      <c r="C290" s="229" t="s">
        <v>32</v>
      </c>
      <c r="D290" s="245">
        <v>16</v>
      </c>
      <c r="E290" s="245">
        <v>19</v>
      </c>
      <c r="F290" s="245">
        <v>67</v>
      </c>
      <c r="G290" s="245">
        <v>96</v>
      </c>
      <c r="H290" s="245">
        <v>0</v>
      </c>
      <c r="I290" s="245">
        <v>0</v>
      </c>
      <c r="J290" s="245">
        <v>0</v>
      </c>
      <c r="K290" s="245">
        <v>0</v>
      </c>
      <c r="L290" s="245">
        <v>4</v>
      </c>
      <c r="M290" s="245">
        <v>2</v>
      </c>
      <c r="N290" s="245">
        <v>0</v>
      </c>
      <c r="O290" s="245">
        <v>1</v>
      </c>
      <c r="P290" s="245">
        <v>0</v>
      </c>
      <c r="Q290" s="245">
        <v>0</v>
      </c>
      <c r="R290" s="245">
        <v>0</v>
      </c>
      <c r="S290" s="245">
        <v>2</v>
      </c>
      <c r="T290" s="245">
        <v>0</v>
      </c>
      <c r="U290" s="245">
        <v>0</v>
      </c>
      <c r="V290" s="245">
        <v>0</v>
      </c>
      <c r="W290" s="245">
        <v>0</v>
      </c>
    </row>
    <row r="291" spans="1:23" ht="72.75" customHeight="1">
      <c r="A291" s="254" t="s">
        <v>349</v>
      </c>
      <c r="B291" s="230" t="s">
        <v>144</v>
      </c>
      <c r="C291" s="229" t="s">
        <v>287</v>
      </c>
      <c r="D291" s="245">
        <v>0</v>
      </c>
      <c r="E291" s="245">
        <v>138</v>
      </c>
      <c r="F291" s="245">
        <v>12</v>
      </c>
      <c r="G291" s="245">
        <v>448</v>
      </c>
      <c r="H291" s="245">
        <v>0</v>
      </c>
      <c r="I291" s="245">
        <v>8</v>
      </c>
      <c r="J291" s="245">
        <v>0</v>
      </c>
      <c r="K291" s="245">
        <v>0</v>
      </c>
      <c r="L291" s="245">
        <v>1</v>
      </c>
      <c r="M291" s="245">
        <v>69</v>
      </c>
      <c r="N291" s="245">
        <v>0</v>
      </c>
      <c r="O291" s="245">
        <v>6</v>
      </c>
      <c r="P291" s="245">
        <v>0</v>
      </c>
      <c r="Q291" s="245">
        <v>0</v>
      </c>
      <c r="R291" s="245">
        <v>0</v>
      </c>
      <c r="S291" s="245">
        <v>14</v>
      </c>
      <c r="T291" s="245">
        <v>2</v>
      </c>
      <c r="U291" s="245">
        <v>140</v>
      </c>
      <c r="V291" s="245">
        <v>0</v>
      </c>
      <c r="W291" s="245">
        <v>0</v>
      </c>
    </row>
    <row r="292" spans="1:23" ht="72.75" customHeight="1">
      <c r="A292" s="254" t="s">
        <v>349</v>
      </c>
      <c r="B292" s="230" t="s">
        <v>144</v>
      </c>
      <c r="C292" s="229" t="s">
        <v>286</v>
      </c>
      <c r="D292" s="245">
        <v>22</v>
      </c>
      <c r="E292" s="245">
        <v>75</v>
      </c>
      <c r="F292" s="245">
        <v>69</v>
      </c>
      <c r="G292" s="245">
        <v>266</v>
      </c>
      <c r="H292" s="245">
        <v>0</v>
      </c>
      <c r="I292" s="245">
        <v>0</v>
      </c>
      <c r="J292" s="245">
        <v>0</v>
      </c>
      <c r="K292" s="245">
        <v>0</v>
      </c>
      <c r="L292" s="245">
        <v>9</v>
      </c>
      <c r="M292" s="245">
        <v>24</v>
      </c>
      <c r="N292" s="245">
        <v>2</v>
      </c>
      <c r="O292" s="245">
        <v>2</v>
      </c>
      <c r="P292" s="245">
        <v>0</v>
      </c>
      <c r="Q292" s="245">
        <v>0</v>
      </c>
      <c r="R292" s="245">
        <v>3</v>
      </c>
      <c r="S292" s="245">
        <v>21</v>
      </c>
      <c r="T292" s="245">
        <v>0</v>
      </c>
      <c r="U292" s="245">
        <v>0</v>
      </c>
      <c r="V292" s="245">
        <v>0</v>
      </c>
      <c r="W292" s="245">
        <v>0</v>
      </c>
    </row>
    <row r="293" spans="1:23" ht="72.75" customHeight="1">
      <c r="A293" s="254" t="s">
        <v>349</v>
      </c>
      <c r="B293" s="230" t="s">
        <v>337</v>
      </c>
      <c r="C293" s="229" t="s">
        <v>67</v>
      </c>
      <c r="D293" s="245">
        <v>19</v>
      </c>
      <c r="E293" s="245">
        <v>70</v>
      </c>
      <c r="F293" s="245">
        <v>97</v>
      </c>
      <c r="G293" s="245">
        <v>278</v>
      </c>
      <c r="H293" s="245">
        <v>40</v>
      </c>
      <c r="I293" s="245">
        <v>37</v>
      </c>
      <c r="J293" s="245">
        <v>47</v>
      </c>
      <c r="K293" s="245">
        <v>36</v>
      </c>
      <c r="L293" s="245">
        <v>7</v>
      </c>
      <c r="M293" s="245">
        <v>7</v>
      </c>
      <c r="N293" s="245">
        <v>0</v>
      </c>
      <c r="O293" s="245">
        <v>4</v>
      </c>
      <c r="P293" s="245">
        <v>0</v>
      </c>
      <c r="Q293" s="245">
        <v>0</v>
      </c>
      <c r="R293" s="245">
        <v>11</v>
      </c>
      <c r="S293" s="245">
        <v>15</v>
      </c>
      <c r="T293" s="245">
        <v>12</v>
      </c>
      <c r="U293" s="245">
        <v>25</v>
      </c>
      <c r="V293" s="245">
        <v>2</v>
      </c>
      <c r="W293" s="245">
        <v>2</v>
      </c>
    </row>
    <row r="294" spans="1:23" ht="72.75" customHeight="1">
      <c r="A294" s="254" t="s">
        <v>803</v>
      </c>
      <c r="B294" s="230"/>
      <c r="C294" s="229" t="s">
        <v>886</v>
      </c>
      <c r="D294" s="245">
        <v>0</v>
      </c>
      <c r="E294" s="245">
        <v>0</v>
      </c>
      <c r="F294" s="245">
        <v>5</v>
      </c>
      <c r="G294" s="245">
        <v>1</v>
      </c>
      <c r="H294" s="245">
        <v>126</v>
      </c>
      <c r="I294" s="245">
        <v>40</v>
      </c>
      <c r="J294" s="245">
        <v>736</v>
      </c>
      <c r="K294" s="245">
        <v>490</v>
      </c>
      <c r="L294" s="245">
        <v>4</v>
      </c>
      <c r="M294" s="245">
        <v>0</v>
      </c>
      <c r="N294" s="245">
        <v>0</v>
      </c>
      <c r="O294" s="245">
        <v>0</v>
      </c>
      <c r="P294" s="245">
        <v>0</v>
      </c>
      <c r="Q294" s="245">
        <v>0</v>
      </c>
      <c r="R294" s="245">
        <v>0</v>
      </c>
      <c r="S294" s="245">
        <v>0</v>
      </c>
      <c r="T294" s="245">
        <v>9</v>
      </c>
      <c r="U294" s="245">
        <v>2</v>
      </c>
      <c r="V294" s="245">
        <v>17</v>
      </c>
      <c r="W294" s="245">
        <v>9</v>
      </c>
    </row>
    <row r="295" spans="1:23" ht="72.75" customHeight="1">
      <c r="A295" s="254" t="s">
        <v>803</v>
      </c>
      <c r="B295" s="230" t="s">
        <v>698</v>
      </c>
      <c r="C295" s="229" t="s">
        <v>887</v>
      </c>
      <c r="D295" s="245">
        <v>0</v>
      </c>
      <c r="E295" s="245">
        <v>0</v>
      </c>
      <c r="F295" s="245">
        <v>5</v>
      </c>
      <c r="G295" s="245">
        <v>4</v>
      </c>
      <c r="H295" s="245">
        <v>179</v>
      </c>
      <c r="I295" s="245">
        <v>72</v>
      </c>
      <c r="J295" s="245">
        <v>818</v>
      </c>
      <c r="K295" s="245">
        <v>310</v>
      </c>
      <c r="L295" s="245">
        <v>2</v>
      </c>
      <c r="M295" s="245">
        <v>3</v>
      </c>
      <c r="N295" s="245">
        <v>2</v>
      </c>
      <c r="O295" s="245">
        <v>0</v>
      </c>
      <c r="P295" s="245">
        <v>0</v>
      </c>
      <c r="Q295" s="245">
        <v>0</v>
      </c>
      <c r="R295" s="245">
        <v>1</v>
      </c>
      <c r="S295" s="245">
        <v>3</v>
      </c>
      <c r="T295" s="245">
        <v>2</v>
      </c>
      <c r="U295" s="245">
        <v>5</v>
      </c>
      <c r="V295" s="245">
        <v>17</v>
      </c>
      <c r="W295" s="245">
        <v>7</v>
      </c>
    </row>
    <row r="296" spans="1:23" ht="72.75" customHeight="1">
      <c r="A296" s="254" t="s">
        <v>803</v>
      </c>
      <c r="B296" s="230" t="s">
        <v>698</v>
      </c>
      <c r="C296" s="229" t="s">
        <v>888</v>
      </c>
      <c r="D296" s="245">
        <v>0</v>
      </c>
      <c r="E296" s="245">
        <v>0</v>
      </c>
      <c r="F296" s="245">
        <v>0</v>
      </c>
      <c r="G296" s="245">
        <v>0</v>
      </c>
      <c r="H296" s="245">
        <v>77</v>
      </c>
      <c r="I296" s="245">
        <v>45</v>
      </c>
      <c r="J296" s="245">
        <v>595</v>
      </c>
      <c r="K296" s="245">
        <v>622</v>
      </c>
      <c r="L296" s="245">
        <v>0</v>
      </c>
      <c r="M296" s="245">
        <v>2</v>
      </c>
      <c r="N296" s="245">
        <v>0</v>
      </c>
      <c r="O296" s="245">
        <v>0</v>
      </c>
      <c r="P296" s="245">
        <v>0</v>
      </c>
      <c r="Q296" s="245">
        <v>0</v>
      </c>
      <c r="R296" s="245">
        <v>0</v>
      </c>
      <c r="S296" s="245">
        <v>0</v>
      </c>
      <c r="T296" s="245">
        <v>4</v>
      </c>
      <c r="U296" s="245">
        <v>10</v>
      </c>
      <c r="V296" s="245">
        <v>2</v>
      </c>
      <c r="W296" s="245">
        <v>1</v>
      </c>
    </row>
    <row r="297" spans="1:23" ht="72.75" customHeight="1">
      <c r="A297" s="254" t="s">
        <v>803</v>
      </c>
      <c r="B297" s="230" t="s">
        <v>698</v>
      </c>
      <c r="C297" s="229" t="s">
        <v>889</v>
      </c>
      <c r="D297" s="245">
        <v>0</v>
      </c>
      <c r="E297" s="245">
        <v>0</v>
      </c>
      <c r="F297" s="245">
        <v>4</v>
      </c>
      <c r="G297" s="245">
        <v>0</v>
      </c>
      <c r="H297" s="245">
        <v>149</v>
      </c>
      <c r="I297" s="245">
        <v>24</v>
      </c>
      <c r="J297" s="245">
        <v>954</v>
      </c>
      <c r="K297" s="245">
        <v>144</v>
      </c>
      <c r="L297" s="245">
        <v>3</v>
      </c>
      <c r="M297" s="245">
        <v>4</v>
      </c>
      <c r="N297" s="245">
        <v>2</v>
      </c>
      <c r="O297" s="245">
        <v>0</v>
      </c>
      <c r="P297" s="245">
        <v>0</v>
      </c>
      <c r="Q297" s="245">
        <v>0</v>
      </c>
      <c r="R297" s="245">
        <v>0</v>
      </c>
      <c r="S297" s="245">
        <v>0</v>
      </c>
      <c r="T297" s="245">
        <v>25</v>
      </c>
      <c r="U297" s="245">
        <v>4</v>
      </c>
      <c r="V297" s="245">
        <v>55</v>
      </c>
      <c r="W297" s="245">
        <v>7</v>
      </c>
    </row>
    <row r="298" spans="1:23" ht="72.75" customHeight="1">
      <c r="A298" s="254" t="s">
        <v>803</v>
      </c>
      <c r="B298" s="230" t="s">
        <v>698</v>
      </c>
      <c r="C298" s="229" t="s">
        <v>890</v>
      </c>
      <c r="D298" s="245">
        <v>0</v>
      </c>
      <c r="E298" s="245">
        <v>0</v>
      </c>
      <c r="F298" s="245">
        <v>10</v>
      </c>
      <c r="G298" s="245">
        <v>4</v>
      </c>
      <c r="H298" s="245">
        <v>99</v>
      </c>
      <c r="I298" s="245">
        <v>30</v>
      </c>
      <c r="J298" s="245">
        <v>1026</v>
      </c>
      <c r="K298" s="245">
        <v>536</v>
      </c>
      <c r="L298" s="245">
        <v>1</v>
      </c>
      <c r="M298" s="245">
        <v>3</v>
      </c>
      <c r="N298" s="245">
        <v>0</v>
      </c>
      <c r="O298" s="245">
        <v>0</v>
      </c>
      <c r="P298" s="245">
        <v>0</v>
      </c>
      <c r="Q298" s="245">
        <v>0</v>
      </c>
      <c r="R298" s="245">
        <v>0</v>
      </c>
      <c r="S298" s="245">
        <v>0</v>
      </c>
      <c r="T298" s="245">
        <v>15</v>
      </c>
      <c r="U298" s="245">
        <v>18</v>
      </c>
      <c r="V298" s="245">
        <v>38</v>
      </c>
      <c r="W298" s="245">
        <v>17</v>
      </c>
    </row>
    <row r="299" spans="1:23" ht="72.75" customHeight="1">
      <c r="A299" s="254" t="s">
        <v>803</v>
      </c>
      <c r="B299" s="230" t="s">
        <v>698</v>
      </c>
      <c r="C299" s="229" t="s">
        <v>891</v>
      </c>
      <c r="D299" s="245">
        <v>0</v>
      </c>
      <c r="E299" s="245">
        <v>0</v>
      </c>
      <c r="F299" s="245">
        <v>0</v>
      </c>
      <c r="G299" s="245">
        <v>0</v>
      </c>
      <c r="H299" s="245">
        <v>167</v>
      </c>
      <c r="I299" s="245">
        <v>39</v>
      </c>
      <c r="J299" s="245">
        <v>701</v>
      </c>
      <c r="K299" s="245">
        <v>269</v>
      </c>
      <c r="L299" s="245">
        <v>3</v>
      </c>
      <c r="M299" s="245">
        <v>0</v>
      </c>
      <c r="N299" s="245">
        <v>0</v>
      </c>
      <c r="O299" s="245">
        <v>1</v>
      </c>
      <c r="P299" s="245">
        <v>1</v>
      </c>
      <c r="Q299" s="245">
        <v>0</v>
      </c>
      <c r="R299" s="245">
        <v>0</v>
      </c>
      <c r="S299" s="245">
        <v>0</v>
      </c>
      <c r="T299" s="245">
        <v>6</v>
      </c>
      <c r="U299" s="245">
        <v>3</v>
      </c>
      <c r="V299" s="245">
        <v>41</v>
      </c>
      <c r="W299" s="245">
        <v>10</v>
      </c>
    </row>
    <row r="300" spans="1:23" ht="72.75" customHeight="1">
      <c r="A300" s="254" t="s">
        <v>803</v>
      </c>
      <c r="B300" s="230" t="s">
        <v>698</v>
      </c>
      <c r="C300" s="229" t="s">
        <v>892</v>
      </c>
      <c r="D300" s="245">
        <v>0</v>
      </c>
      <c r="E300" s="245">
        <v>0</v>
      </c>
      <c r="F300" s="245">
        <v>5</v>
      </c>
      <c r="G300" s="245">
        <v>8</v>
      </c>
      <c r="H300" s="245">
        <v>139</v>
      </c>
      <c r="I300" s="245">
        <v>128</v>
      </c>
      <c r="J300" s="245">
        <v>625</v>
      </c>
      <c r="K300" s="245">
        <v>1325</v>
      </c>
      <c r="L300" s="245">
        <v>6</v>
      </c>
      <c r="M300" s="245">
        <v>14</v>
      </c>
      <c r="N300" s="245">
        <v>1</v>
      </c>
      <c r="O300" s="245">
        <v>1</v>
      </c>
      <c r="P300" s="245">
        <v>0</v>
      </c>
      <c r="Q300" s="245">
        <v>0</v>
      </c>
      <c r="R300" s="245">
        <v>0</v>
      </c>
      <c r="S300" s="245">
        <v>0</v>
      </c>
      <c r="T300" s="245">
        <v>15</v>
      </c>
      <c r="U300" s="245">
        <v>34</v>
      </c>
      <c r="V300" s="245">
        <v>23</v>
      </c>
      <c r="W300" s="245">
        <v>42</v>
      </c>
    </row>
    <row r="301" spans="1:23" ht="72.75" customHeight="1">
      <c r="A301" s="254" t="s">
        <v>803</v>
      </c>
      <c r="B301" s="230" t="s">
        <v>698</v>
      </c>
      <c r="C301" s="276" t="s">
        <v>893</v>
      </c>
      <c r="D301" s="245">
        <v>0</v>
      </c>
      <c r="E301" s="245">
        <v>0</v>
      </c>
      <c r="F301" s="245">
        <v>2</v>
      </c>
      <c r="G301" s="245">
        <v>1</v>
      </c>
      <c r="H301" s="245">
        <v>119</v>
      </c>
      <c r="I301" s="245">
        <v>129</v>
      </c>
      <c r="J301" s="245">
        <v>1670</v>
      </c>
      <c r="K301" s="245">
        <v>1318</v>
      </c>
      <c r="L301" s="245">
        <v>10</v>
      </c>
      <c r="M301" s="245">
        <v>8</v>
      </c>
      <c r="N301" s="245">
        <v>0</v>
      </c>
      <c r="O301" s="245">
        <v>0</v>
      </c>
      <c r="P301" s="245">
        <v>0</v>
      </c>
      <c r="Q301" s="245">
        <v>0</v>
      </c>
      <c r="R301" s="245">
        <v>0</v>
      </c>
      <c r="S301" s="245">
        <v>0</v>
      </c>
      <c r="T301" s="245">
        <v>4</v>
      </c>
      <c r="U301" s="245">
        <v>13</v>
      </c>
      <c r="V301" s="245">
        <v>40</v>
      </c>
      <c r="W301" s="245">
        <v>36</v>
      </c>
    </row>
    <row r="302" spans="1:23" ht="72.75" customHeight="1">
      <c r="A302" s="254" t="s">
        <v>803</v>
      </c>
      <c r="B302" s="230" t="s">
        <v>698</v>
      </c>
      <c r="C302" s="229" t="s">
        <v>737</v>
      </c>
      <c r="D302" s="245">
        <v>0</v>
      </c>
      <c r="E302" s="245">
        <v>0</v>
      </c>
      <c r="F302" s="245">
        <v>6</v>
      </c>
      <c r="G302" s="245">
        <v>3</v>
      </c>
      <c r="H302" s="245">
        <v>277</v>
      </c>
      <c r="I302" s="245">
        <v>153</v>
      </c>
      <c r="J302" s="245">
        <v>840</v>
      </c>
      <c r="K302" s="245">
        <v>699</v>
      </c>
      <c r="L302" s="245">
        <v>2</v>
      </c>
      <c r="M302" s="245">
        <v>2</v>
      </c>
      <c r="N302" s="245">
        <v>0</v>
      </c>
      <c r="O302" s="245">
        <v>1</v>
      </c>
      <c r="P302" s="245">
        <v>0</v>
      </c>
      <c r="Q302" s="245">
        <v>0</v>
      </c>
      <c r="R302" s="245">
        <v>0</v>
      </c>
      <c r="S302" s="245">
        <v>0</v>
      </c>
      <c r="T302" s="245">
        <v>98</v>
      </c>
      <c r="U302" s="245">
        <v>56</v>
      </c>
      <c r="V302" s="245">
        <v>68</v>
      </c>
      <c r="W302" s="245">
        <v>39</v>
      </c>
    </row>
    <row r="303" spans="1:23" ht="72.75" customHeight="1">
      <c r="A303" s="254" t="s">
        <v>803</v>
      </c>
      <c r="B303" s="230" t="s">
        <v>698</v>
      </c>
      <c r="C303" s="229" t="s">
        <v>738</v>
      </c>
      <c r="D303" s="245">
        <v>0</v>
      </c>
      <c r="E303" s="245">
        <v>0</v>
      </c>
      <c r="F303" s="245">
        <v>0</v>
      </c>
      <c r="G303" s="245">
        <v>4</v>
      </c>
      <c r="H303" s="245">
        <v>4</v>
      </c>
      <c r="I303" s="245">
        <v>89</v>
      </c>
      <c r="J303" s="245">
        <v>2</v>
      </c>
      <c r="K303" s="245">
        <v>57</v>
      </c>
      <c r="L303" s="245">
        <v>1</v>
      </c>
      <c r="M303" s="245">
        <v>71</v>
      </c>
      <c r="N303" s="245">
        <v>0</v>
      </c>
      <c r="O303" s="245">
        <v>2</v>
      </c>
      <c r="P303" s="245">
        <v>0</v>
      </c>
      <c r="Q303" s="245">
        <v>0</v>
      </c>
      <c r="R303" s="245">
        <v>0</v>
      </c>
      <c r="S303" s="245">
        <v>0</v>
      </c>
      <c r="T303" s="245">
        <v>1</v>
      </c>
      <c r="U303" s="245">
        <v>26</v>
      </c>
      <c r="V303" s="245">
        <v>0</v>
      </c>
      <c r="W303" s="245">
        <v>8</v>
      </c>
    </row>
    <row r="304" spans="1:23" ht="72.75" customHeight="1">
      <c r="A304" s="254" t="s">
        <v>803</v>
      </c>
      <c r="B304" s="230" t="s">
        <v>698</v>
      </c>
      <c r="C304" s="229" t="s">
        <v>739</v>
      </c>
      <c r="D304" s="245">
        <v>0</v>
      </c>
      <c r="E304" s="245">
        <v>0</v>
      </c>
      <c r="F304" s="245">
        <v>0</v>
      </c>
      <c r="G304" s="245">
        <v>0</v>
      </c>
      <c r="H304" s="245">
        <v>0</v>
      </c>
      <c r="I304" s="245">
        <v>0</v>
      </c>
      <c r="J304" s="245">
        <v>554</v>
      </c>
      <c r="K304" s="245">
        <v>486</v>
      </c>
      <c r="L304" s="245">
        <v>1</v>
      </c>
      <c r="M304" s="245">
        <v>1</v>
      </c>
      <c r="N304" s="245">
        <v>2</v>
      </c>
      <c r="O304" s="245">
        <v>1</v>
      </c>
      <c r="P304" s="245">
        <v>0</v>
      </c>
      <c r="Q304" s="245">
        <v>0</v>
      </c>
      <c r="R304" s="245">
        <v>0</v>
      </c>
      <c r="S304" s="245">
        <v>0</v>
      </c>
      <c r="T304" s="245">
        <v>0</v>
      </c>
      <c r="U304" s="245">
        <v>0</v>
      </c>
      <c r="V304" s="245">
        <v>10</v>
      </c>
      <c r="W304" s="245">
        <v>5</v>
      </c>
    </row>
    <row r="305" spans="1:23" ht="72.75" customHeight="1">
      <c r="A305" s="254" t="s">
        <v>803</v>
      </c>
      <c r="B305" s="230" t="s">
        <v>698</v>
      </c>
      <c r="C305" s="229" t="s">
        <v>740</v>
      </c>
      <c r="D305" s="245">
        <v>0</v>
      </c>
      <c r="E305" s="245">
        <v>0</v>
      </c>
      <c r="F305" s="245">
        <v>0</v>
      </c>
      <c r="G305" s="245">
        <v>0</v>
      </c>
      <c r="H305" s="245">
        <v>0</v>
      </c>
      <c r="I305" s="245">
        <v>0</v>
      </c>
      <c r="J305" s="245">
        <v>363</v>
      </c>
      <c r="K305" s="245">
        <v>352</v>
      </c>
      <c r="L305" s="245">
        <v>0</v>
      </c>
      <c r="M305" s="245">
        <v>1</v>
      </c>
      <c r="N305" s="245">
        <v>1</v>
      </c>
      <c r="O305" s="245">
        <v>0</v>
      </c>
      <c r="P305" s="245">
        <v>0</v>
      </c>
      <c r="Q305" s="245">
        <v>0</v>
      </c>
      <c r="R305" s="245">
        <v>0</v>
      </c>
      <c r="S305" s="245">
        <v>0</v>
      </c>
      <c r="T305" s="245">
        <v>0</v>
      </c>
      <c r="U305" s="245">
        <v>0</v>
      </c>
      <c r="V305" s="245">
        <v>8</v>
      </c>
      <c r="W305" s="245">
        <v>3</v>
      </c>
    </row>
    <row r="306" spans="1:23" ht="72.75" customHeight="1">
      <c r="A306" s="254" t="s">
        <v>803</v>
      </c>
      <c r="B306" s="230" t="s">
        <v>698</v>
      </c>
      <c r="C306" s="229" t="s">
        <v>741</v>
      </c>
      <c r="D306" s="245">
        <v>0</v>
      </c>
      <c r="E306" s="245">
        <v>0</v>
      </c>
      <c r="F306" s="245">
        <v>1</v>
      </c>
      <c r="G306" s="245">
        <v>2</v>
      </c>
      <c r="H306" s="245">
        <v>112</v>
      </c>
      <c r="I306" s="245">
        <v>43</v>
      </c>
      <c r="J306" s="245">
        <v>344</v>
      </c>
      <c r="K306" s="245">
        <v>211</v>
      </c>
      <c r="L306" s="245">
        <v>3</v>
      </c>
      <c r="M306" s="245">
        <v>3</v>
      </c>
      <c r="N306" s="245">
        <v>2</v>
      </c>
      <c r="O306" s="245">
        <v>9</v>
      </c>
      <c r="P306" s="245">
        <v>0</v>
      </c>
      <c r="Q306" s="245">
        <v>0</v>
      </c>
      <c r="R306" s="245">
        <v>0</v>
      </c>
      <c r="S306" s="245">
        <v>0</v>
      </c>
      <c r="T306" s="245">
        <v>7</v>
      </c>
      <c r="U306" s="245">
        <v>4</v>
      </c>
      <c r="V306" s="245">
        <v>56</v>
      </c>
      <c r="W306" s="245">
        <v>45</v>
      </c>
    </row>
    <row r="307" spans="1:23" ht="72.75" customHeight="1">
      <c r="A307" s="254" t="s">
        <v>803</v>
      </c>
      <c r="B307" s="230" t="s">
        <v>698</v>
      </c>
      <c r="C307" s="229" t="s">
        <v>742</v>
      </c>
      <c r="D307" s="245">
        <v>0</v>
      </c>
      <c r="E307" s="245">
        <v>0</v>
      </c>
      <c r="F307" s="245">
        <v>0</v>
      </c>
      <c r="G307" s="245">
        <v>0</v>
      </c>
      <c r="H307" s="245">
        <v>650</v>
      </c>
      <c r="I307" s="245">
        <v>890</v>
      </c>
      <c r="J307" s="245">
        <v>1209</v>
      </c>
      <c r="K307" s="245">
        <v>1545</v>
      </c>
      <c r="L307" s="245">
        <v>0</v>
      </c>
      <c r="M307" s="245">
        <v>0</v>
      </c>
      <c r="N307" s="245">
        <v>0</v>
      </c>
      <c r="O307" s="245">
        <v>0</v>
      </c>
      <c r="P307" s="245">
        <v>0</v>
      </c>
      <c r="Q307" s="245">
        <v>0</v>
      </c>
      <c r="R307" s="245">
        <v>0</v>
      </c>
      <c r="S307" s="245">
        <v>4</v>
      </c>
      <c r="T307" s="245">
        <v>18</v>
      </c>
      <c r="U307" s="245">
        <v>24</v>
      </c>
      <c r="V307" s="245">
        <v>4</v>
      </c>
      <c r="W307" s="245">
        <v>5</v>
      </c>
    </row>
    <row r="308" spans="1:23" ht="72.75" customHeight="1">
      <c r="A308" s="254" t="s">
        <v>803</v>
      </c>
      <c r="B308" s="230" t="s">
        <v>698</v>
      </c>
      <c r="C308" s="229" t="s">
        <v>743</v>
      </c>
      <c r="D308" s="245">
        <v>0</v>
      </c>
      <c r="E308" s="245">
        <v>0</v>
      </c>
      <c r="F308" s="245">
        <v>0</v>
      </c>
      <c r="G308" s="245">
        <v>0</v>
      </c>
      <c r="H308" s="245">
        <v>139</v>
      </c>
      <c r="I308" s="245">
        <v>52</v>
      </c>
      <c r="J308" s="245">
        <v>1429</v>
      </c>
      <c r="K308" s="245">
        <v>200</v>
      </c>
      <c r="L308" s="245">
        <v>7</v>
      </c>
      <c r="M308" s="245">
        <v>1</v>
      </c>
      <c r="N308" s="245">
        <v>1</v>
      </c>
      <c r="O308" s="245">
        <v>0</v>
      </c>
      <c r="P308" s="245">
        <v>0</v>
      </c>
      <c r="Q308" s="245">
        <v>0</v>
      </c>
      <c r="R308" s="245">
        <v>0</v>
      </c>
      <c r="S308" s="245">
        <v>0</v>
      </c>
      <c r="T308" s="245">
        <v>20</v>
      </c>
      <c r="U308" s="245">
        <v>5</v>
      </c>
      <c r="V308" s="245">
        <v>45</v>
      </c>
      <c r="W308" s="245">
        <v>6</v>
      </c>
    </row>
    <row r="309" spans="1:23" ht="72.75" customHeight="1">
      <c r="A309" s="229" t="s">
        <v>660</v>
      </c>
      <c r="B309" s="275" t="s">
        <v>141</v>
      </c>
      <c r="C309" s="229" t="s">
        <v>51</v>
      </c>
      <c r="D309" s="134">
        <v>31</v>
      </c>
      <c r="E309" s="134">
        <v>98</v>
      </c>
      <c r="F309" s="134">
        <v>151</v>
      </c>
      <c r="G309" s="134">
        <v>446</v>
      </c>
      <c r="H309" s="134">
        <v>51</v>
      </c>
      <c r="I309" s="134">
        <v>132</v>
      </c>
      <c r="J309" s="134">
        <v>35</v>
      </c>
      <c r="K309" s="134">
        <v>84</v>
      </c>
      <c r="L309" s="134">
        <v>9</v>
      </c>
      <c r="M309" s="134">
        <v>24</v>
      </c>
      <c r="N309" s="134">
        <v>2</v>
      </c>
      <c r="O309" s="134">
        <v>4</v>
      </c>
      <c r="P309" s="136">
        <v>0</v>
      </c>
      <c r="Q309" s="136">
        <v>0</v>
      </c>
      <c r="R309" s="134">
        <v>0</v>
      </c>
      <c r="S309" s="134">
        <v>1</v>
      </c>
      <c r="T309" s="134">
        <v>14</v>
      </c>
      <c r="U309" s="134">
        <v>40</v>
      </c>
      <c r="V309" s="134">
        <v>3</v>
      </c>
      <c r="W309" s="134">
        <v>5</v>
      </c>
    </row>
    <row r="310" spans="1:23" ht="72.75" customHeight="1">
      <c r="A310" s="229" t="s">
        <v>660</v>
      </c>
      <c r="B310" s="275" t="s">
        <v>144</v>
      </c>
      <c r="C310" s="229" t="s">
        <v>744</v>
      </c>
      <c r="D310" s="134">
        <v>39</v>
      </c>
      <c r="E310" s="134">
        <v>86</v>
      </c>
      <c r="F310" s="134">
        <v>129</v>
      </c>
      <c r="G310" s="134">
        <v>261</v>
      </c>
      <c r="H310" s="134">
        <v>22</v>
      </c>
      <c r="I310" s="134">
        <v>33</v>
      </c>
      <c r="J310" s="134">
        <v>114</v>
      </c>
      <c r="K310" s="134">
        <v>128</v>
      </c>
      <c r="L310" s="134">
        <v>11</v>
      </c>
      <c r="M310" s="134">
        <v>24</v>
      </c>
      <c r="N310" s="134">
        <v>1</v>
      </c>
      <c r="O310" s="134">
        <v>12</v>
      </c>
      <c r="P310" s="136">
        <v>0</v>
      </c>
      <c r="Q310" s="136">
        <v>0</v>
      </c>
      <c r="R310" s="134">
        <v>9</v>
      </c>
      <c r="S310" s="134">
        <v>31</v>
      </c>
      <c r="T310" s="134">
        <v>11</v>
      </c>
      <c r="U310" s="134">
        <v>37</v>
      </c>
      <c r="V310" s="134">
        <v>5</v>
      </c>
      <c r="W310" s="134">
        <v>7</v>
      </c>
    </row>
    <row r="311" spans="1:23" ht="72.75" customHeight="1">
      <c r="A311" s="229" t="s">
        <v>660</v>
      </c>
      <c r="B311" s="230" t="s">
        <v>365</v>
      </c>
      <c r="C311" s="229" t="s">
        <v>894</v>
      </c>
      <c r="D311" s="134">
        <v>24</v>
      </c>
      <c r="E311" s="134">
        <v>26</v>
      </c>
      <c r="F311" s="134">
        <v>150</v>
      </c>
      <c r="G311" s="134">
        <v>231</v>
      </c>
      <c r="H311" s="134">
        <v>60</v>
      </c>
      <c r="I311" s="134">
        <v>50</v>
      </c>
      <c r="J311" s="134">
        <v>112</v>
      </c>
      <c r="K311" s="134">
        <v>75</v>
      </c>
      <c r="L311" s="134">
        <v>8</v>
      </c>
      <c r="M311" s="134">
        <v>11</v>
      </c>
      <c r="N311" s="134">
        <v>1</v>
      </c>
      <c r="O311" s="134">
        <v>1</v>
      </c>
      <c r="P311" s="136">
        <v>0</v>
      </c>
      <c r="Q311" s="136">
        <v>0</v>
      </c>
      <c r="R311" s="134">
        <v>4</v>
      </c>
      <c r="S311" s="134">
        <v>6</v>
      </c>
      <c r="T311" s="134">
        <v>8</v>
      </c>
      <c r="U311" s="134">
        <v>8</v>
      </c>
      <c r="V311" s="134">
        <v>3</v>
      </c>
      <c r="W311" s="134">
        <v>0</v>
      </c>
    </row>
    <row r="312" spans="1:23" ht="72.75" customHeight="1">
      <c r="A312" s="229" t="s">
        <v>660</v>
      </c>
      <c r="B312" s="230" t="s">
        <v>365</v>
      </c>
      <c r="C312" s="229" t="s">
        <v>895</v>
      </c>
      <c r="D312" s="134">
        <v>83</v>
      </c>
      <c r="E312" s="134">
        <v>62</v>
      </c>
      <c r="F312" s="134">
        <v>329</v>
      </c>
      <c r="G312" s="134">
        <v>265</v>
      </c>
      <c r="H312" s="134">
        <v>58</v>
      </c>
      <c r="I312" s="134">
        <v>21</v>
      </c>
      <c r="J312" s="134">
        <v>143</v>
      </c>
      <c r="K312" s="134">
        <v>56</v>
      </c>
      <c r="L312" s="134">
        <v>14</v>
      </c>
      <c r="M312" s="134">
        <v>6</v>
      </c>
      <c r="N312" s="134">
        <v>6</v>
      </c>
      <c r="O312" s="134">
        <v>1</v>
      </c>
      <c r="P312" s="136">
        <v>0</v>
      </c>
      <c r="Q312" s="136">
        <v>0</v>
      </c>
      <c r="R312" s="134">
        <v>6</v>
      </c>
      <c r="S312" s="134">
        <v>18</v>
      </c>
      <c r="T312" s="134">
        <v>16</v>
      </c>
      <c r="U312" s="134">
        <v>15</v>
      </c>
      <c r="V312" s="134">
        <v>6</v>
      </c>
      <c r="W312" s="134">
        <v>2</v>
      </c>
    </row>
    <row r="313" spans="1:23" ht="72.75" customHeight="1">
      <c r="A313" s="229" t="s">
        <v>660</v>
      </c>
      <c r="B313" s="230" t="s">
        <v>699</v>
      </c>
      <c r="C313" s="229" t="s">
        <v>27</v>
      </c>
      <c r="D313" s="134">
        <v>109</v>
      </c>
      <c r="E313" s="134">
        <v>71</v>
      </c>
      <c r="F313" s="134">
        <v>383</v>
      </c>
      <c r="G313" s="134">
        <v>250</v>
      </c>
      <c r="H313" s="134">
        <v>52</v>
      </c>
      <c r="I313" s="134">
        <v>23</v>
      </c>
      <c r="J313" s="134">
        <v>249</v>
      </c>
      <c r="K313" s="134">
        <v>77</v>
      </c>
      <c r="L313" s="134">
        <v>34</v>
      </c>
      <c r="M313" s="134">
        <v>34</v>
      </c>
      <c r="N313" s="134">
        <v>7</v>
      </c>
      <c r="O313" s="134">
        <v>4</v>
      </c>
      <c r="P313" s="136">
        <v>0</v>
      </c>
      <c r="Q313" s="136">
        <v>0</v>
      </c>
      <c r="R313" s="134">
        <v>46</v>
      </c>
      <c r="S313" s="134">
        <v>46</v>
      </c>
      <c r="T313" s="134">
        <v>22</v>
      </c>
      <c r="U313" s="134">
        <v>20</v>
      </c>
      <c r="V313" s="134">
        <v>5</v>
      </c>
      <c r="W313" s="134">
        <v>0</v>
      </c>
    </row>
    <row r="314" spans="1:23" ht="72.75" customHeight="1">
      <c r="A314" s="229" t="s">
        <v>660</v>
      </c>
      <c r="B314" s="230" t="s">
        <v>141</v>
      </c>
      <c r="C314" s="229" t="s">
        <v>52</v>
      </c>
      <c r="D314" s="134">
        <v>130</v>
      </c>
      <c r="E314" s="134">
        <v>27</v>
      </c>
      <c r="F314" s="134">
        <v>605</v>
      </c>
      <c r="G314" s="134">
        <v>131</v>
      </c>
      <c r="H314" s="134">
        <v>134</v>
      </c>
      <c r="I314" s="134">
        <v>14</v>
      </c>
      <c r="J314" s="134">
        <v>370</v>
      </c>
      <c r="K314" s="134">
        <v>56</v>
      </c>
      <c r="L314" s="134">
        <v>67</v>
      </c>
      <c r="M314" s="134">
        <v>22</v>
      </c>
      <c r="N314" s="134">
        <v>7</v>
      </c>
      <c r="O314" s="134">
        <v>0</v>
      </c>
      <c r="P314" s="136">
        <v>0</v>
      </c>
      <c r="Q314" s="136">
        <v>0</v>
      </c>
      <c r="R314" s="134">
        <v>32</v>
      </c>
      <c r="S314" s="134">
        <v>13</v>
      </c>
      <c r="T314" s="134">
        <v>48</v>
      </c>
      <c r="U314" s="134">
        <v>10</v>
      </c>
      <c r="V314" s="134">
        <v>23</v>
      </c>
      <c r="W314" s="134">
        <v>1</v>
      </c>
    </row>
    <row r="315" spans="1:23" ht="72.75" customHeight="1">
      <c r="A315" s="229" t="s">
        <v>660</v>
      </c>
      <c r="B315" s="230" t="s">
        <v>144</v>
      </c>
      <c r="C315" s="229" t="s">
        <v>61</v>
      </c>
      <c r="D315" s="134">
        <v>40</v>
      </c>
      <c r="E315" s="134">
        <v>69</v>
      </c>
      <c r="F315" s="134">
        <v>224</v>
      </c>
      <c r="G315" s="134">
        <v>354</v>
      </c>
      <c r="H315" s="134">
        <v>14</v>
      </c>
      <c r="I315" s="134">
        <v>23</v>
      </c>
      <c r="J315" s="134">
        <v>52</v>
      </c>
      <c r="K315" s="134">
        <v>41</v>
      </c>
      <c r="L315" s="134">
        <v>7</v>
      </c>
      <c r="M315" s="134">
        <v>14</v>
      </c>
      <c r="N315" s="134">
        <v>5</v>
      </c>
      <c r="O315" s="134">
        <v>4</v>
      </c>
      <c r="P315" s="136">
        <v>0</v>
      </c>
      <c r="Q315" s="136">
        <v>0</v>
      </c>
      <c r="R315" s="134">
        <v>38</v>
      </c>
      <c r="S315" s="134">
        <v>42</v>
      </c>
      <c r="T315" s="134">
        <v>14</v>
      </c>
      <c r="U315" s="134">
        <v>21</v>
      </c>
      <c r="V315" s="134">
        <v>4</v>
      </c>
      <c r="W315" s="134">
        <v>5</v>
      </c>
    </row>
    <row r="316" spans="1:23" ht="72.75" customHeight="1">
      <c r="A316" s="229" t="s">
        <v>660</v>
      </c>
      <c r="B316" s="230" t="s">
        <v>668</v>
      </c>
      <c r="C316" s="229" t="s">
        <v>896</v>
      </c>
      <c r="D316" s="134">
        <v>41</v>
      </c>
      <c r="E316" s="134">
        <v>69</v>
      </c>
      <c r="F316" s="134">
        <v>163</v>
      </c>
      <c r="G316" s="134">
        <v>255</v>
      </c>
      <c r="H316" s="134">
        <v>24</v>
      </c>
      <c r="I316" s="134">
        <v>50</v>
      </c>
      <c r="J316" s="134">
        <v>84</v>
      </c>
      <c r="K316" s="134">
        <v>225</v>
      </c>
      <c r="L316" s="134">
        <v>8</v>
      </c>
      <c r="M316" s="134">
        <v>22</v>
      </c>
      <c r="N316" s="134">
        <v>1</v>
      </c>
      <c r="O316" s="134">
        <v>4</v>
      </c>
      <c r="P316" s="136">
        <v>0</v>
      </c>
      <c r="Q316" s="136">
        <v>0</v>
      </c>
      <c r="R316" s="134">
        <v>6</v>
      </c>
      <c r="S316" s="134">
        <v>15</v>
      </c>
      <c r="T316" s="134">
        <v>16</v>
      </c>
      <c r="U316" s="134">
        <v>42</v>
      </c>
      <c r="V316" s="134">
        <v>3</v>
      </c>
      <c r="W316" s="134">
        <v>10</v>
      </c>
    </row>
    <row r="317" spans="1:23" ht="72.75" customHeight="1">
      <c r="A317" s="229" t="s">
        <v>660</v>
      </c>
      <c r="B317" s="230" t="s">
        <v>144</v>
      </c>
      <c r="C317" s="229" t="s">
        <v>63</v>
      </c>
      <c r="D317" s="134">
        <v>33</v>
      </c>
      <c r="E317" s="134">
        <v>70</v>
      </c>
      <c r="F317" s="134">
        <v>129</v>
      </c>
      <c r="G317" s="134">
        <v>230</v>
      </c>
      <c r="H317" s="134">
        <v>26</v>
      </c>
      <c r="I317" s="134">
        <v>32</v>
      </c>
      <c r="J317" s="134">
        <v>37</v>
      </c>
      <c r="K317" s="134">
        <v>16</v>
      </c>
      <c r="L317" s="134">
        <v>14</v>
      </c>
      <c r="M317" s="134">
        <v>23</v>
      </c>
      <c r="N317" s="134">
        <v>3</v>
      </c>
      <c r="O317" s="134">
        <v>6</v>
      </c>
      <c r="P317" s="136">
        <v>0</v>
      </c>
      <c r="Q317" s="136">
        <v>0</v>
      </c>
      <c r="R317" s="134">
        <v>5</v>
      </c>
      <c r="S317" s="134">
        <v>12</v>
      </c>
      <c r="T317" s="134">
        <v>13</v>
      </c>
      <c r="U317" s="134">
        <v>27</v>
      </c>
      <c r="V317" s="134">
        <v>2</v>
      </c>
      <c r="W317" s="134">
        <v>2</v>
      </c>
    </row>
    <row r="318" spans="1:23" ht="72.75" customHeight="1">
      <c r="A318" s="229" t="s">
        <v>660</v>
      </c>
      <c r="B318" s="230" t="s">
        <v>141</v>
      </c>
      <c r="C318" s="229" t="s">
        <v>897</v>
      </c>
      <c r="D318" s="134">
        <v>32</v>
      </c>
      <c r="E318" s="134">
        <v>18</v>
      </c>
      <c r="F318" s="134">
        <v>131</v>
      </c>
      <c r="G318" s="134">
        <v>131</v>
      </c>
      <c r="H318" s="134">
        <v>51</v>
      </c>
      <c r="I318" s="134">
        <v>30</v>
      </c>
      <c r="J318" s="134">
        <v>106</v>
      </c>
      <c r="K318" s="134">
        <v>50</v>
      </c>
      <c r="L318" s="134">
        <v>4</v>
      </c>
      <c r="M318" s="134">
        <v>9</v>
      </c>
      <c r="N318" s="134">
        <v>2</v>
      </c>
      <c r="O318" s="134">
        <v>1</v>
      </c>
      <c r="P318" s="136">
        <v>0</v>
      </c>
      <c r="Q318" s="136">
        <v>0</v>
      </c>
      <c r="R318" s="134">
        <v>5</v>
      </c>
      <c r="S318" s="134">
        <v>15</v>
      </c>
      <c r="T318" s="134">
        <v>10</v>
      </c>
      <c r="U318" s="134">
        <v>19</v>
      </c>
      <c r="V318" s="134">
        <v>4</v>
      </c>
      <c r="W318" s="134">
        <v>1</v>
      </c>
    </row>
    <row r="319" spans="1:23" ht="72.75" customHeight="1">
      <c r="A319" s="229" t="s">
        <v>660</v>
      </c>
      <c r="B319" s="230" t="s">
        <v>141</v>
      </c>
      <c r="C319" s="229" t="s">
        <v>54</v>
      </c>
      <c r="D319" s="134">
        <v>110</v>
      </c>
      <c r="E319" s="134">
        <v>18</v>
      </c>
      <c r="F319" s="134">
        <v>428</v>
      </c>
      <c r="G319" s="134">
        <v>75</v>
      </c>
      <c r="H319" s="134">
        <v>124</v>
      </c>
      <c r="I319" s="134">
        <v>24</v>
      </c>
      <c r="J319" s="134">
        <v>167</v>
      </c>
      <c r="K319" s="134">
        <v>31</v>
      </c>
      <c r="L319" s="134">
        <v>25</v>
      </c>
      <c r="M319" s="134">
        <v>7</v>
      </c>
      <c r="N319" s="134">
        <v>3</v>
      </c>
      <c r="O319" s="134">
        <v>0</v>
      </c>
      <c r="P319" s="136">
        <v>0</v>
      </c>
      <c r="Q319" s="136">
        <v>0</v>
      </c>
      <c r="R319" s="134">
        <v>5</v>
      </c>
      <c r="S319" s="134">
        <v>2</v>
      </c>
      <c r="T319" s="134">
        <v>38</v>
      </c>
      <c r="U319" s="134">
        <v>5</v>
      </c>
      <c r="V319" s="134">
        <v>10</v>
      </c>
      <c r="W319" s="134">
        <v>0</v>
      </c>
    </row>
    <row r="320" spans="1:23" ht="72.75" customHeight="1">
      <c r="A320" s="229" t="s">
        <v>660</v>
      </c>
      <c r="B320" s="230" t="s">
        <v>334</v>
      </c>
      <c r="C320" s="229" t="s">
        <v>38</v>
      </c>
      <c r="D320" s="134">
        <v>118</v>
      </c>
      <c r="E320" s="134">
        <v>103</v>
      </c>
      <c r="F320" s="134">
        <v>484</v>
      </c>
      <c r="G320" s="134">
        <v>449</v>
      </c>
      <c r="H320" s="134">
        <v>117</v>
      </c>
      <c r="I320" s="134">
        <v>44</v>
      </c>
      <c r="J320" s="134">
        <v>265</v>
      </c>
      <c r="K320" s="134">
        <v>161</v>
      </c>
      <c r="L320" s="134">
        <v>44</v>
      </c>
      <c r="M320" s="134">
        <v>31</v>
      </c>
      <c r="N320" s="134">
        <v>14</v>
      </c>
      <c r="O320" s="134">
        <v>5</v>
      </c>
      <c r="P320" s="136">
        <v>0</v>
      </c>
      <c r="Q320" s="136">
        <v>0</v>
      </c>
      <c r="R320" s="134">
        <v>8</v>
      </c>
      <c r="S320" s="134">
        <v>20</v>
      </c>
      <c r="T320" s="134">
        <v>35</v>
      </c>
      <c r="U320" s="134">
        <v>34</v>
      </c>
      <c r="V320" s="134">
        <v>8</v>
      </c>
      <c r="W320" s="134">
        <v>4</v>
      </c>
    </row>
    <row r="321" spans="1:23" ht="72.75" customHeight="1">
      <c r="A321" s="229" t="s">
        <v>660</v>
      </c>
      <c r="B321" s="230" t="s">
        <v>668</v>
      </c>
      <c r="C321" s="229" t="s">
        <v>745</v>
      </c>
      <c r="D321" s="134">
        <v>22</v>
      </c>
      <c r="E321" s="134">
        <v>133</v>
      </c>
      <c r="F321" s="134">
        <v>103</v>
      </c>
      <c r="G321" s="134">
        <v>479</v>
      </c>
      <c r="H321" s="134">
        <v>21</v>
      </c>
      <c r="I321" s="134">
        <v>24</v>
      </c>
      <c r="J321" s="134">
        <v>53</v>
      </c>
      <c r="K321" s="134">
        <v>91</v>
      </c>
      <c r="L321" s="134">
        <v>10</v>
      </c>
      <c r="M321" s="134">
        <v>56</v>
      </c>
      <c r="N321" s="134">
        <v>2</v>
      </c>
      <c r="O321" s="134">
        <v>4</v>
      </c>
      <c r="P321" s="136">
        <v>0</v>
      </c>
      <c r="Q321" s="136">
        <v>0</v>
      </c>
      <c r="R321" s="134">
        <v>15</v>
      </c>
      <c r="S321" s="134">
        <v>114</v>
      </c>
      <c r="T321" s="134">
        <v>8</v>
      </c>
      <c r="U321" s="134">
        <v>23</v>
      </c>
      <c r="V321" s="134">
        <v>2</v>
      </c>
      <c r="W321" s="134">
        <v>7</v>
      </c>
    </row>
    <row r="322" spans="1:23" ht="72.75" customHeight="1">
      <c r="A322" s="229" t="s">
        <v>660</v>
      </c>
      <c r="B322" s="230" t="s">
        <v>668</v>
      </c>
      <c r="C322" s="229" t="s">
        <v>746</v>
      </c>
      <c r="D322" s="134">
        <v>24</v>
      </c>
      <c r="E322" s="134">
        <v>116</v>
      </c>
      <c r="F322" s="134">
        <v>64</v>
      </c>
      <c r="G322" s="134">
        <v>375</v>
      </c>
      <c r="H322" s="134">
        <v>7</v>
      </c>
      <c r="I322" s="134">
        <v>27</v>
      </c>
      <c r="J322" s="134">
        <v>35</v>
      </c>
      <c r="K322" s="134">
        <v>74</v>
      </c>
      <c r="L322" s="134">
        <v>4</v>
      </c>
      <c r="M322" s="134">
        <v>6</v>
      </c>
      <c r="N322" s="134">
        <v>0</v>
      </c>
      <c r="O322" s="134">
        <v>0</v>
      </c>
      <c r="P322" s="136">
        <v>0</v>
      </c>
      <c r="Q322" s="136">
        <v>0</v>
      </c>
      <c r="R322" s="134">
        <v>11</v>
      </c>
      <c r="S322" s="134">
        <v>72</v>
      </c>
      <c r="T322" s="134">
        <v>2</v>
      </c>
      <c r="U322" s="134">
        <v>21</v>
      </c>
      <c r="V322" s="134">
        <v>2</v>
      </c>
      <c r="W322" s="134">
        <v>5</v>
      </c>
    </row>
    <row r="323" spans="1:23" ht="72.75" customHeight="1">
      <c r="A323" s="229" t="s">
        <v>660</v>
      </c>
      <c r="B323" s="230" t="s">
        <v>668</v>
      </c>
      <c r="C323" s="229" t="s">
        <v>747</v>
      </c>
      <c r="D323" s="134">
        <v>3</v>
      </c>
      <c r="E323" s="134">
        <v>173</v>
      </c>
      <c r="F323" s="134">
        <v>36</v>
      </c>
      <c r="G323" s="134">
        <v>602</v>
      </c>
      <c r="H323" s="134">
        <v>8</v>
      </c>
      <c r="I323" s="134">
        <v>40</v>
      </c>
      <c r="J323" s="134">
        <v>22</v>
      </c>
      <c r="K323" s="134">
        <v>148</v>
      </c>
      <c r="L323" s="134">
        <v>2</v>
      </c>
      <c r="M323" s="134">
        <v>25</v>
      </c>
      <c r="N323" s="134">
        <v>0</v>
      </c>
      <c r="O323" s="134">
        <v>4</v>
      </c>
      <c r="P323" s="136">
        <v>0</v>
      </c>
      <c r="Q323" s="136">
        <v>0</v>
      </c>
      <c r="R323" s="134">
        <v>4</v>
      </c>
      <c r="S323" s="134">
        <v>105</v>
      </c>
      <c r="T323" s="134">
        <v>2</v>
      </c>
      <c r="U323" s="134">
        <v>44</v>
      </c>
      <c r="V323" s="134">
        <v>2</v>
      </c>
      <c r="W323" s="134">
        <v>9</v>
      </c>
    </row>
    <row r="324" spans="1:23" ht="72.75" customHeight="1">
      <c r="A324" s="229" t="s">
        <v>660</v>
      </c>
      <c r="B324" s="230" t="s">
        <v>152</v>
      </c>
      <c r="C324" s="229" t="s">
        <v>748</v>
      </c>
      <c r="D324" s="134">
        <v>133</v>
      </c>
      <c r="E324" s="134">
        <v>26</v>
      </c>
      <c r="F324" s="134">
        <v>499</v>
      </c>
      <c r="G324" s="134">
        <v>97</v>
      </c>
      <c r="H324" s="134">
        <v>130</v>
      </c>
      <c r="I324" s="134">
        <v>22</v>
      </c>
      <c r="J324" s="134">
        <v>200</v>
      </c>
      <c r="K324" s="134">
        <v>37</v>
      </c>
      <c r="L324" s="134">
        <v>136</v>
      </c>
      <c r="M324" s="134">
        <v>38</v>
      </c>
      <c r="N324" s="134">
        <v>10</v>
      </c>
      <c r="O324" s="134">
        <v>1</v>
      </c>
      <c r="P324" s="136">
        <v>0</v>
      </c>
      <c r="Q324" s="136">
        <v>0</v>
      </c>
      <c r="R324" s="134">
        <v>2</v>
      </c>
      <c r="S324" s="134">
        <v>0</v>
      </c>
      <c r="T324" s="134">
        <v>19</v>
      </c>
      <c r="U324" s="134">
        <v>8</v>
      </c>
      <c r="V324" s="134">
        <v>22</v>
      </c>
      <c r="W324" s="134">
        <v>4</v>
      </c>
    </row>
    <row r="325" spans="1:23" ht="72.75" customHeight="1">
      <c r="A325" s="229" t="s">
        <v>660</v>
      </c>
      <c r="B325" s="230" t="s">
        <v>152</v>
      </c>
      <c r="C325" s="229" t="s">
        <v>749</v>
      </c>
      <c r="D325" s="134">
        <v>107</v>
      </c>
      <c r="E325" s="134">
        <v>93</v>
      </c>
      <c r="F325" s="134">
        <v>314</v>
      </c>
      <c r="G325" s="134">
        <v>295</v>
      </c>
      <c r="H325" s="134">
        <v>70</v>
      </c>
      <c r="I325" s="134">
        <v>80</v>
      </c>
      <c r="J325" s="134">
        <v>180</v>
      </c>
      <c r="K325" s="134">
        <v>126</v>
      </c>
      <c r="L325" s="134">
        <v>26</v>
      </c>
      <c r="M325" s="134">
        <v>28</v>
      </c>
      <c r="N325" s="134">
        <v>9</v>
      </c>
      <c r="O325" s="134">
        <v>8</v>
      </c>
      <c r="P325" s="136">
        <v>0</v>
      </c>
      <c r="Q325" s="136">
        <v>0</v>
      </c>
      <c r="R325" s="134">
        <v>2</v>
      </c>
      <c r="S325" s="134">
        <v>1</v>
      </c>
      <c r="T325" s="134">
        <v>15</v>
      </c>
      <c r="U325" s="134">
        <v>22</v>
      </c>
      <c r="V325" s="134">
        <v>13</v>
      </c>
      <c r="W325" s="134">
        <v>15</v>
      </c>
    </row>
    <row r="326" spans="1:23" ht="72.75" customHeight="1">
      <c r="A326" s="229" t="s">
        <v>660</v>
      </c>
      <c r="B326" s="230" t="s">
        <v>141</v>
      </c>
      <c r="C326" s="229" t="s">
        <v>55</v>
      </c>
      <c r="D326" s="134">
        <v>71</v>
      </c>
      <c r="E326" s="134">
        <v>33</v>
      </c>
      <c r="F326" s="134">
        <v>284</v>
      </c>
      <c r="G326" s="134">
        <v>138</v>
      </c>
      <c r="H326" s="134">
        <v>83</v>
      </c>
      <c r="I326" s="134">
        <v>39</v>
      </c>
      <c r="J326" s="134">
        <v>99</v>
      </c>
      <c r="K326" s="134">
        <v>47</v>
      </c>
      <c r="L326" s="134">
        <v>1</v>
      </c>
      <c r="M326" s="134">
        <v>1</v>
      </c>
      <c r="N326" s="134">
        <v>5</v>
      </c>
      <c r="O326" s="134">
        <v>1</v>
      </c>
      <c r="P326" s="136">
        <v>0</v>
      </c>
      <c r="Q326" s="136">
        <v>0</v>
      </c>
      <c r="R326" s="134">
        <v>0</v>
      </c>
      <c r="S326" s="134">
        <v>3</v>
      </c>
      <c r="T326" s="134">
        <v>18</v>
      </c>
      <c r="U326" s="134">
        <v>12</v>
      </c>
      <c r="V326" s="134">
        <v>9</v>
      </c>
      <c r="W326" s="134">
        <v>3</v>
      </c>
    </row>
    <row r="327" spans="1:23" ht="72.75" customHeight="1">
      <c r="A327" s="229" t="s">
        <v>660</v>
      </c>
      <c r="B327" s="230" t="s">
        <v>668</v>
      </c>
      <c r="C327" s="229" t="s">
        <v>750</v>
      </c>
      <c r="D327" s="134">
        <v>32</v>
      </c>
      <c r="E327" s="134">
        <v>61</v>
      </c>
      <c r="F327" s="134">
        <v>97</v>
      </c>
      <c r="G327" s="134">
        <v>212</v>
      </c>
      <c r="H327" s="134">
        <v>0</v>
      </c>
      <c r="I327" s="134">
        <v>0</v>
      </c>
      <c r="J327" s="134">
        <v>0</v>
      </c>
      <c r="K327" s="134">
        <v>0</v>
      </c>
      <c r="L327" s="134">
        <v>6</v>
      </c>
      <c r="M327" s="134">
        <v>14</v>
      </c>
      <c r="N327" s="134">
        <v>1</v>
      </c>
      <c r="O327" s="134">
        <v>0</v>
      </c>
      <c r="P327" s="136">
        <v>1</v>
      </c>
      <c r="Q327" s="136">
        <v>0</v>
      </c>
      <c r="R327" s="134">
        <v>9</v>
      </c>
      <c r="S327" s="134">
        <v>31</v>
      </c>
      <c r="T327" s="134">
        <v>0</v>
      </c>
      <c r="U327" s="134">
        <v>0</v>
      </c>
      <c r="V327" s="134">
        <v>0</v>
      </c>
      <c r="W327" s="134">
        <v>0</v>
      </c>
    </row>
    <row r="328" spans="1:23" ht="72.75" customHeight="1">
      <c r="A328" s="229" t="s">
        <v>660</v>
      </c>
      <c r="B328" s="230" t="s">
        <v>668</v>
      </c>
      <c r="C328" s="229" t="s">
        <v>751</v>
      </c>
      <c r="D328" s="134">
        <v>18</v>
      </c>
      <c r="E328" s="134">
        <v>73</v>
      </c>
      <c r="F328" s="134">
        <v>62</v>
      </c>
      <c r="G328" s="134">
        <v>264</v>
      </c>
      <c r="H328" s="134">
        <v>0</v>
      </c>
      <c r="I328" s="134">
        <v>0</v>
      </c>
      <c r="J328" s="134">
        <v>0</v>
      </c>
      <c r="K328" s="134">
        <v>0</v>
      </c>
      <c r="L328" s="134">
        <v>0</v>
      </c>
      <c r="M328" s="134">
        <v>7</v>
      </c>
      <c r="N328" s="134">
        <v>2</v>
      </c>
      <c r="O328" s="134">
        <v>1</v>
      </c>
      <c r="P328" s="136">
        <v>0</v>
      </c>
      <c r="Q328" s="136">
        <v>1</v>
      </c>
      <c r="R328" s="134">
        <v>2</v>
      </c>
      <c r="S328" s="134">
        <v>49</v>
      </c>
      <c r="T328" s="134">
        <v>0</v>
      </c>
      <c r="U328" s="134">
        <v>0</v>
      </c>
      <c r="V328" s="134">
        <v>0</v>
      </c>
      <c r="W328" s="134">
        <v>0</v>
      </c>
    </row>
    <row r="329" spans="1:23" ht="72.75" customHeight="1">
      <c r="A329" s="229" t="s">
        <v>660</v>
      </c>
      <c r="B329" s="230" t="s">
        <v>334</v>
      </c>
      <c r="C329" s="229" t="s">
        <v>156</v>
      </c>
      <c r="D329" s="134">
        <v>100</v>
      </c>
      <c r="E329" s="134">
        <v>104</v>
      </c>
      <c r="F329" s="134">
        <v>418</v>
      </c>
      <c r="G329" s="134">
        <v>381</v>
      </c>
      <c r="H329" s="134">
        <v>0</v>
      </c>
      <c r="I329" s="134">
        <v>0</v>
      </c>
      <c r="J329" s="134">
        <v>13</v>
      </c>
      <c r="K329" s="134">
        <v>10</v>
      </c>
      <c r="L329" s="134">
        <v>16</v>
      </c>
      <c r="M329" s="134">
        <v>13</v>
      </c>
      <c r="N329" s="134">
        <v>4</v>
      </c>
      <c r="O329" s="134">
        <v>4</v>
      </c>
      <c r="P329" s="136">
        <v>0</v>
      </c>
      <c r="Q329" s="136">
        <v>0</v>
      </c>
      <c r="R329" s="134">
        <v>17</v>
      </c>
      <c r="S329" s="134">
        <v>32</v>
      </c>
      <c r="T329" s="134">
        <v>0</v>
      </c>
      <c r="U329" s="134">
        <v>0</v>
      </c>
      <c r="V329" s="134">
        <v>15</v>
      </c>
      <c r="W329" s="134">
        <v>17</v>
      </c>
    </row>
    <row r="330" spans="1:23" ht="72.75" customHeight="1">
      <c r="A330" s="229" t="s">
        <v>660</v>
      </c>
      <c r="B330" s="230" t="s">
        <v>334</v>
      </c>
      <c r="C330" s="229" t="s">
        <v>258</v>
      </c>
      <c r="D330" s="134">
        <v>102</v>
      </c>
      <c r="E330" s="134">
        <v>103</v>
      </c>
      <c r="F330" s="134">
        <v>513</v>
      </c>
      <c r="G330" s="134">
        <v>481</v>
      </c>
      <c r="H330" s="134">
        <v>1</v>
      </c>
      <c r="I330" s="134">
        <v>0</v>
      </c>
      <c r="J330" s="134">
        <v>8</v>
      </c>
      <c r="K330" s="134">
        <v>3</v>
      </c>
      <c r="L330" s="134">
        <v>32</v>
      </c>
      <c r="M330" s="134">
        <v>31</v>
      </c>
      <c r="N330" s="134">
        <v>9</v>
      </c>
      <c r="O330" s="134">
        <v>5</v>
      </c>
      <c r="P330" s="136">
        <v>5</v>
      </c>
      <c r="Q330" s="136">
        <v>8</v>
      </c>
      <c r="R330" s="134">
        <v>12</v>
      </c>
      <c r="S330" s="134">
        <v>24</v>
      </c>
      <c r="T330" s="134">
        <v>0</v>
      </c>
      <c r="U330" s="134">
        <v>0</v>
      </c>
      <c r="V330" s="134">
        <v>8</v>
      </c>
      <c r="W330" s="134">
        <v>17</v>
      </c>
    </row>
    <row r="331" spans="1:23" ht="72.75" customHeight="1">
      <c r="A331" s="229" t="s">
        <v>660</v>
      </c>
      <c r="B331" s="230" t="s">
        <v>365</v>
      </c>
      <c r="C331" s="229" t="s">
        <v>752</v>
      </c>
      <c r="D331" s="134">
        <v>31</v>
      </c>
      <c r="E331" s="134">
        <v>48</v>
      </c>
      <c r="F331" s="134">
        <v>236</v>
      </c>
      <c r="G331" s="134">
        <v>237</v>
      </c>
      <c r="H331" s="134">
        <v>2</v>
      </c>
      <c r="I331" s="134">
        <v>0</v>
      </c>
      <c r="J331" s="134">
        <v>0</v>
      </c>
      <c r="K331" s="134">
        <v>0</v>
      </c>
      <c r="L331" s="134">
        <v>5</v>
      </c>
      <c r="M331" s="134">
        <v>4</v>
      </c>
      <c r="N331" s="134">
        <v>8</v>
      </c>
      <c r="O331" s="134">
        <v>1</v>
      </c>
      <c r="P331" s="136">
        <v>0</v>
      </c>
      <c r="Q331" s="136">
        <v>0</v>
      </c>
      <c r="R331" s="134">
        <v>4</v>
      </c>
      <c r="S331" s="134">
        <v>7</v>
      </c>
      <c r="T331" s="134">
        <v>3</v>
      </c>
      <c r="U331" s="134">
        <v>3</v>
      </c>
      <c r="V331" s="134">
        <v>0</v>
      </c>
      <c r="W331" s="134">
        <v>0</v>
      </c>
    </row>
    <row r="332" spans="1:23" ht="72.75" customHeight="1">
      <c r="A332" s="229" t="s">
        <v>660</v>
      </c>
      <c r="B332" s="230" t="s">
        <v>365</v>
      </c>
      <c r="C332" s="229" t="s">
        <v>676</v>
      </c>
      <c r="D332" s="134">
        <v>21</v>
      </c>
      <c r="E332" s="134">
        <v>14</v>
      </c>
      <c r="F332" s="134">
        <v>111</v>
      </c>
      <c r="G332" s="134">
        <v>143</v>
      </c>
      <c r="H332" s="134">
        <v>0</v>
      </c>
      <c r="I332" s="134">
        <v>0</v>
      </c>
      <c r="J332" s="134">
        <v>0</v>
      </c>
      <c r="K332" s="134">
        <v>0</v>
      </c>
      <c r="L332" s="134">
        <v>8</v>
      </c>
      <c r="M332" s="134">
        <v>6</v>
      </c>
      <c r="N332" s="134">
        <v>5</v>
      </c>
      <c r="O332" s="134">
        <v>0</v>
      </c>
      <c r="P332" s="136">
        <v>1</v>
      </c>
      <c r="Q332" s="136">
        <v>0</v>
      </c>
      <c r="R332" s="134">
        <v>0</v>
      </c>
      <c r="S332" s="134">
        <v>0</v>
      </c>
      <c r="T332" s="134">
        <v>0</v>
      </c>
      <c r="U332" s="134">
        <v>0</v>
      </c>
      <c r="V332" s="134">
        <v>0</v>
      </c>
      <c r="W332" s="134">
        <v>0</v>
      </c>
    </row>
    <row r="333" spans="1:23" ht="72.75" customHeight="1">
      <c r="A333" s="229" t="s">
        <v>660</v>
      </c>
      <c r="B333" s="230" t="s">
        <v>144</v>
      </c>
      <c r="C333" s="229" t="s">
        <v>288</v>
      </c>
      <c r="D333" s="134">
        <v>51</v>
      </c>
      <c r="E333" s="134">
        <v>107</v>
      </c>
      <c r="F333" s="134">
        <v>124</v>
      </c>
      <c r="G333" s="134">
        <v>394</v>
      </c>
      <c r="H333" s="134">
        <v>2</v>
      </c>
      <c r="I333" s="134">
        <v>9</v>
      </c>
      <c r="J333" s="134">
        <v>0</v>
      </c>
      <c r="K333" s="134">
        <v>0</v>
      </c>
      <c r="L333" s="134">
        <v>14</v>
      </c>
      <c r="M333" s="134">
        <v>66</v>
      </c>
      <c r="N333" s="134">
        <v>4</v>
      </c>
      <c r="O333" s="134">
        <v>6</v>
      </c>
      <c r="P333" s="136">
        <v>0</v>
      </c>
      <c r="Q333" s="136">
        <v>0</v>
      </c>
      <c r="R333" s="134">
        <v>28</v>
      </c>
      <c r="S333" s="134">
        <v>164</v>
      </c>
      <c r="T333" s="134">
        <v>21</v>
      </c>
      <c r="U333" s="134">
        <v>103</v>
      </c>
      <c r="V333" s="134">
        <v>1</v>
      </c>
      <c r="W333" s="134">
        <v>3</v>
      </c>
    </row>
    <row r="334" spans="1:23" ht="72.75" customHeight="1">
      <c r="A334" s="229" t="s">
        <v>660</v>
      </c>
      <c r="B334" s="230" t="s">
        <v>144</v>
      </c>
      <c r="C334" s="229" t="s">
        <v>753</v>
      </c>
      <c r="D334" s="134">
        <v>17</v>
      </c>
      <c r="E334" s="134">
        <v>62</v>
      </c>
      <c r="F334" s="134">
        <v>64</v>
      </c>
      <c r="G334" s="134">
        <v>212</v>
      </c>
      <c r="H334" s="134">
        <v>0</v>
      </c>
      <c r="I334" s="134">
        <v>0</v>
      </c>
      <c r="J334" s="134">
        <v>0</v>
      </c>
      <c r="K334" s="134">
        <v>0</v>
      </c>
      <c r="L334" s="134">
        <v>11</v>
      </c>
      <c r="M334" s="134">
        <v>33</v>
      </c>
      <c r="N334" s="134">
        <v>1</v>
      </c>
      <c r="O334" s="134">
        <v>2</v>
      </c>
      <c r="P334" s="136">
        <v>0</v>
      </c>
      <c r="Q334" s="136">
        <v>0</v>
      </c>
      <c r="R334" s="134">
        <v>2</v>
      </c>
      <c r="S334" s="134">
        <v>44</v>
      </c>
      <c r="T334" s="134">
        <v>0</v>
      </c>
      <c r="U334" s="134">
        <v>0</v>
      </c>
      <c r="V334" s="134">
        <v>0</v>
      </c>
      <c r="W334" s="134">
        <v>0</v>
      </c>
    </row>
    <row r="335" spans="1:23" ht="72.75" customHeight="1">
      <c r="A335" s="229" t="s">
        <v>660</v>
      </c>
      <c r="B335" s="230" t="s">
        <v>144</v>
      </c>
      <c r="C335" s="229" t="s">
        <v>289</v>
      </c>
      <c r="D335" s="134">
        <v>37</v>
      </c>
      <c r="E335" s="134">
        <v>29</v>
      </c>
      <c r="F335" s="134">
        <v>202</v>
      </c>
      <c r="G335" s="134">
        <v>199</v>
      </c>
      <c r="H335" s="134">
        <v>0</v>
      </c>
      <c r="I335" s="134">
        <v>3</v>
      </c>
      <c r="J335" s="134">
        <v>0</v>
      </c>
      <c r="K335" s="134">
        <v>0</v>
      </c>
      <c r="L335" s="134">
        <v>26</v>
      </c>
      <c r="M335" s="134">
        <v>22</v>
      </c>
      <c r="N335" s="134">
        <v>1</v>
      </c>
      <c r="O335" s="134">
        <v>2</v>
      </c>
      <c r="P335" s="136">
        <v>0</v>
      </c>
      <c r="Q335" s="136">
        <v>0</v>
      </c>
      <c r="R335" s="134">
        <v>23</v>
      </c>
      <c r="S335" s="134">
        <v>23</v>
      </c>
      <c r="T335" s="134">
        <v>25</v>
      </c>
      <c r="U335" s="134">
        <v>21</v>
      </c>
      <c r="V335" s="134">
        <v>1</v>
      </c>
      <c r="W335" s="134">
        <v>0</v>
      </c>
    </row>
    <row r="336" spans="1:23" ht="72.75" customHeight="1">
      <c r="A336" s="229" t="s">
        <v>660</v>
      </c>
      <c r="B336" s="230" t="s">
        <v>700</v>
      </c>
      <c r="C336" s="229" t="s">
        <v>754</v>
      </c>
      <c r="D336" s="134">
        <v>21</v>
      </c>
      <c r="E336" s="134">
        <v>1</v>
      </c>
      <c r="F336" s="134">
        <v>268</v>
      </c>
      <c r="G336" s="134">
        <v>59</v>
      </c>
      <c r="H336" s="134">
        <v>1</v>
      </c>
      <c r="I336" s="134">
        <v>0</v>
      </c>
      <c r="J336" s="134">
        <v>0</v>
      </c>
      <c r="K336" s="134">
        <v>0</v>
      </c>
      <c r="L336" s="134">
        <v>5</v>
      </c>
      <c r="M336" s="134">
        <v>3</v>
      </c>
      <c r="N336" s="134">
        <v>5</v>
      </c>
      <c r="O336" s="134">
        <v>1</v>
      </c>
      <c r="P336" s="136">
        <v>0</v>
      </c>
      <c r="Q336" s="136">
        <v>0</v>
      </c>
      <c r="R336" s="134">
        <v>14</v>
      </c>
      <c r="S336" s="134">
        <v>3</v>
      </c>
      <c r="T336" s="134">
        <v>1</v>
      </c>
      <c r="U336" s="134">
        <v>0</v>
      </c>
      <c r="V336" s="134">
        <v>0</v>
      </c>
      <c r="W336" s="134">
        <v>0</v>
      </c>
    </row>
    <row r="337" spans="1:23" ht="72.75" customHeight="1">
      <c r="A337" s="229" t="s">
        <v>660</v>
      </c>
      <c r="B337" s="230" t="s">
        <v>700</v>
      </c>
      <c r="C337" s="229" t="s">
        <v>245</v>
      </c>
      <c r="D337" s="134">
        <v>17</v>
      </c>
      <c r="E337" s="134">
        <v>22</v>
      </c>
      <c r="F337" s="134">
        <v>130</v>
      </c>
      <c r="G337" s="134">
        <v>214</v>
      </c>
      <c r="H337" s="134">
        <v>0</v>
      </c>
      <c r="I337" s="134">
        <v>0</v>
      </c>
      <c r="J337" s="134">
        <v>0</v>
      </c>
      <c r="K337" s="134">
        <v>0</v>
      </c>
      <c r="L337" s="134">
        <v>0</v>
      </c>
      <c r="M337" s="134">
        <v>4</v>
      </c>
      <c r="N337" s="134">
        <v>0</v>
      </c>
      <c r="O337" s="134">
        <v>0</v>
      </c>
      <c r="P337" s="136">
        <v>0</v>
      </c>
      <c r="Q337" s="136">
        <v>0</v>
      </c>
      <c r="R337" s="134">
        <v>5</v>
      </c>
      <c r="S337" s="134">
        <v>18</v>
      </c>
      <c r="T337" s="134">
        <v>0</v>
      </c>
      <c r="U337" s="134">
        <v>0</v>
      </c>
      <c r="V337" s="134">
        <v>0</v>
      </c>
      <c r="W337" s="134">
        <v>0</v>
      </c>
    </row>
    <row r="338" spans="1:23" ht="72.75" customHeight="1">
      <c r="A338" s="229" t="s">
        <v>660</v>
      </c>
      <c r="B338" s="230" t="s">
        <v>700</v>
      </c>
      <c r="C338" s="229" t="s">
        <v>755</v>
      </c>
      <c r="D338" s="134">
        <v>239</v>
      </c>
      <c r="E338" s="134">
        <v>54</v>
      </c>
      <c r="F338" s="134">
        <v>896</v>
      </c>
      <c r="G338" s="134">
        <v>195</v>
      </c>
      <c r="H338" s="134">
        <v>0</v>
      </c>
      <c r="I338" s="134">
        <v>0</v>
      </c>
      <c r="J338" s="134">
        <v>0</v>
      </c>
      <c r="K338" s="134">
        <v>0</v>
      </c>
      <c r="L338" s="134">
        <v>0</v>
      </c>
      <c r="M338" s="134">
        <v>0</v>
      </c>
      <c r="N338" s="134">
        <v>15</v>
      </c>
      <c r="O338" s="134">
        <v>3</v>
      </c>
      <c r="P338" s="136">
        <v>0</v>
      </c>
      <c r="Q338" s="136">
        <v>0</v>
      </c>
      <c r="R338" s="134">
        <v>7</v>
      </c>
      <c r="S338" s="134">
        <v>4</v>
      </c>
      <c r="T338" s="134">
        <v>2</v>
      </c>
      <c r="U338" s="134">
        <v>2</v>
      </c>
      <c r="V338" s="134">
        <v>0</v>
      </c>
      <c r="W338" s="134">
        <v>0</v>
      </c>
    </row>
    <row r="339" spans="1:23" ht="72.75" customHeight="1">
      <c r="A339" s="229" t="s">
        <v>660</v>
      </c>
      <c r="B339" s="230" t="s">
        <v>365</v>
      </c>
      <c r="C339" s="229" t="s">
        <v>756</v>
      </c>
      <c r="D339" s="134">
        <v>21</v>
      </c>
      <c r="E339" s="134">
        <v>69</v>
      </c>
      <c r="F339" s="134">
        <v>91</v>
      </c>
      <c r="G339" s="134">
        <v>297</v>
      </c>
      <c r="H339" s="134">
        <v>0</v>
      </c>
      <c r="I339" s="134">
        <v>0</v>
      </c>
      <c r="J339" s="134">
        <v>0</v>
      </c>
      <c r="K339" s="134">
        <v>0</v>
      </c>
      <c r="L339" s="134">
        <v>3</v>
      </c>
      <c r="M339" s="134">
        <v>18</v>
      </c>
      <c r="N339" s="134">
        <v>1</v>
      </c>
      <c r="O339" s="134">
        <v>2</v>
      </c>
      <c r="P339" s="136">
        <v>0</v>
      </c>
      <c r="Q339" s="136">
        <v>0</v>
      </c>
      <c r="R339" s="134">
        <v>2</v>
      </c>
      <c r="S339" s="134">
        <v>1</v>
      </c>
      <c r="T339" s="134">
        <v>3</v>
      </c>
      <c r="U339" s="134">
        <v>3</v>
      </c>
      <c r="V339" s="134">
        <v>0</v>
      </c>
      <c r="W339" s="134">
        <v>0</v>
      </c>
    </row>
    <row r="340" spans="1:23" ht="72.75" customHeight="1">
      <c r="A340" s="229" t="s">
        <v>660</v>
      </c>
      <c r="B340" s="230" t="s">
        <v>700</v>
      </c>
      <c r="C340" s="229" t="s">
        <v>925</v>
      </c>
      <c r="D340" s="134">
        <v>84</v>
      </c>
      <c r="E340" s="134">
        <v>107</v>
      </c>
      <c r="F340" s="134">
        <v>303</v>
      </c>
      <c r="G340" s="134">
        <v>378</v>
      </c>
      <c r="H340" s="134">
        <v>1</v>
      </c>
      <c r="I340" s="134">
        <v>0</v>
      </c>
      <c r="J340" s="134">
        <v>0</v>
      </c>
      <c r="K340" s="134">
        <v>0</v>
      </c>
      <c r="L340" s="134">
        <v>23</v>
      </c>
      <c r="M340" s="134">
        <v>49</v>
      </c>
      <c r="N340" s="134">
        <v>5</v>
      </c>
      <c r="O340" s="134">
        <v>3</v>
      </c>
      <c r="P340" s="136">
        <v>0</v>
      </c>
      <c r="Q340" s="136">
        <v>0</v>
      </c>
      <c r="R340" s="134">
        <v>2</v>
      </c>
      <c r="S340" s="134">
        <v>0</v>
      </c>
      <c r="T340" s="134">
        <v>1</v>
      </c>
      <c r="U340" s="134">
        <v>2</v>
      </c>
      <c r="V340" s="134">
        <v>0</v>
      </c>
      <c r="W340" s="134">
        <v>0</v>
      </c>
    </row>
    <row r="341" spans="1:23" ht="72.75" customHeight="1">
      <c r="A341" s="229" t="s">
        <v>660</v>
      </c>
      <c r="B341" s="230" t="s">
        <v>924</v>
      </c>
      <c r="C341" s="229" t="s">
        <v>757</v>
      </c>
      <c r="D341" s="134">
        <v>21</v>
      </c>
      <c r="E341" s="134">
        <v>96</v>
      </c>
      <c r="F341" s="134">
        <v>89</v>
      </c>
      <c r="G341" s="134">
        <v>329</v>
      </c>
      <c r="H341" s="134">
        <v>1</v>
      </c>
      <c r="I341" s="134">
        <v>0</v>
      </c>
      <c r="J341" s="134">
        <v>1</v>
      </c>
      <c r="K341" s="134">
        <v>0</v>
      </c>
      <c r="L341" s="134">
        <v>5</v>
      </c>
      <c r="M341" s="134">
        <v>18</v>
      </c>
      <c r="N341" s="134">
        <v>7</v>
      </c>
      <c r="O341" s="134">
        <v>9</v>
      </c>
      <c r="P341" s="136">
        <v>0</v>
      </c>
      <c r="Q341" s="136">
        <v>0</v>
      </c>
      <c r="R341" s="134">
        <v>10</v>
      </c>
      <c r="S341" s="134">
        <v>35</v>
      </c>
      <c r="T341" s="134">
        <v>3</v>
      </c>
      <c r="U341" s="134">
        <v>8</v>
      </c>
      <c r="V341" s="134">
        <v>1</v>
      </c>
      <c r="W341" s="134">
        <v>2</v>
      </c>
    </row>
    <row r="342" spans="1:23" ht="72.75" customHeight="1">
      <c r="A342" s="229" t="s">
        <v>660</v>
      </c>
      <c r="B342" s="230" t="s">
        <v>152</v>
      </c>
      <c r="C342" s="229" t="s">
        <v>34</v>
      </c>
      <c r="D342" s="134">
        <v>29</v>
      </c>
      <c r="E342" s="134">
        <v>16</v>
      </c>
      <c r="F342" s="134">
        <v>122</v>
      </c>
      <c r="G342" s="134">
        <v>66</v>
      </c>
      <c r="H342" s="134">
        <v>0</v>
      </c>
      <c r="I342" s="134">
        <v>0</v>
      </c>
      <c r="J342" s="134">
        <v>0</v>
      </c>
      <c r="K342" s="134">
        <v>0</v>
      </c>
      <c r="L342" s="134">
        <v>8</v>
      </c>
      <c r="M342" s="134">
        <v>0</v>
      </c>
      <c r="N342" s="134">
        <v>1</v>
      </c>
      <c r="O342" s="134">
        <v>0</v>
      </c>
      <c r="P342" s="136">
        <v>0</v>
      </c>
      <c r="Q342" s="136">
        <v>0</v>
      </c>
      <c r="R342" s="134">
        <v>3</v>
      </c>
      <c r="S342" s="134">
        <v>1</v>
      </c>
      <c r="T342" s="134">
        <v>0</v>
      </c>
      <c r="U342" s="134">
        <v>0</v>
      </c>
      <c r="V342" s="134">
        <v>0</v>
      </c>
      <c r="W342" s="134">
        <v>0</v>
      </c>
    </row>
    <row r="343" spans="1:23" ht="72.75" customHeight="1">
      <c r="A343" s="229" t="s">
        <v>660</v>
      </c>
      <c r="B343" s="230" t="s">
        <v>152</v>
      </c>
      <c r="C343" s="229" t="s">
        <v>32</v>
      </c>
      <c r="D343" s="134">
        <v>25</v>
      </c>
      <c r="E343" s="134">
        <v>26</v>
      </c>
      <c r="F343" s="134">
        <v>104</v>
      </c>
      <c r="G343" s="134">
        <v>119</v>
      </c>
      <c r="H343" s="134">
        <v>0</v>
      </c>
      <c r="I343" s="134">
        <v>0</v>
      </c>
      <c r="J343" s="134">
        <v>0</v>
      </c>
      <c r="K343" s="134">
        <v>0</v>
      </c>
      <c r="L343" s="134">
        <v>9</v>
      </c>
      <c r="M343" s="134">
        <v>2</v>
      </c>
      <c r="N343" s="134">
        <v>1</v>
      </c>
      <c r="O343" s="134">
        <v>0</v>
      </c>
      <c r="P343" s="136">
        <v>0</v>
      </c>
      <c r="Q343" s="136">
        <v>0</v>
      </c>
      <c r="R343" s="134">
        <v>1</v>
      </c>
      <c r="S343" s="134">
        <v>11</v>
      </c>
      <c r="T343" s="134">
        <v>0</v>
      </c>
      <c r="U343" s="134">
        <v>0</v>
      </c>
      <c r="V343" s="134">
        <v>0</v>
      </c>
      <c r="W343" s="134">
        <v>0</v>
      </c>
    </row>
    <row r="344" spans="1:23" ht="72.75" customHeight="1">
      <c r="A344" s="230" t="s">
        <v>666</v>
      </c>
      <c r="B344" s="230" t="s">
        <v>701</v>
      </c>
      <c r="C344" s="229" t="s">
        <v>758</v>
      </c>
      <c r="D344" s="134">
        <v>0</v>
      </c>
      <c r="E344" s="134">
        <v>0</v>
      </c>
      <c r="F344" s="134">
        <v>0</v>
      </c>
      <c r="G344" s="134">
        <v>0</v>
      </c>
      <c r="H344" s="134">
        <v>32</v>
      </c>
      <c r="I344" s="134">
        <v>46</v>
      </c>
      <c r="J344" s="134">
        <v>212</v>
      </c>
      <c r="K344" s="134">
        <v>135</v>
      </c>
      <c r="L344" s="134">
        <v>0</v>
      </c>
      <c r="M344" s="134">
        <v>0</v>
      </c>
      <c r="N344" s="134">
        <v>0</v>
      </c>
      <c r="O344" s="134">
        <v>0</v>
      </c>
      <c r="P344" s="136">
        <v>0</v>
      </c>
      <c r="Q344" s="136">
        <v>0</v>
      </c>
      <c r="R344" s="134">
        <v>0</v>
      </c>
      <c r="S344" s="134">
        <v>0</v>
      </c>
      <c r="T344" s="134">
        <v>3</v>
      </c>
      <c r="U344" s="134">
        <v>3</v>
      </c>
      <c r="V344" s="134">
        <v>0</v>
      </c>
      <c r="W344" s="134">
        <v>1</v>
      </c>
    </row>
    <row r="345" spans="1:23" ht="72.75" customHeight="1">
      <c r="A345" s="230" t="s">
        <v>666</v>
      </c>
      <c r="B345" s="230" t="s">
        <v>701</v>
      </c>
      <c r="C345" s="229" t="s">
        <v>759</v>
      </c>
      <c r="D345" s="134">
        <v>0</v>
      </c>
      <c r="E345" s="134">
        <v>0</v>
      </c>
      <c r="F345" s="134">
        <v>2</v>
      </c>
      <c r="G345" s="134">
        <v>0</v>
      </c>
      <c r="H345" s="134">
        <v>21</v>
      </c>
      <c r="I345" s="134">
        <v>21</v>
      </c>
      <c r="J345" s="134">
        <v>54</v>
      </c>
      <c r="K345" s="134">
        <v>124</v>
      </c>
      <c r="L345" s="134">
        <v>0</v>
      </c>
      <c r="M345" s="134">
        <v>0</v>
      </c>
      <c r="N345" s="134">
        <v>0</v>
      </c>
      <c r="O345" s="134">
        <v>0</v>
      </c>
      <c r="P345" s="136">
        <v>0</v>
      </c>
      <c r="Q345" s="136">
        <v>0</v>
      </c>
      <c r="R345" s="134">
        <v>1</v>
      </c>
      <c r="S345" s="134">
        <v>0</v>
      </c>
      <c r="T345" s="134">
        <v>9</v>
      </c>
      <c r="U345" s="134">
        <v>15</v>
      </c>
      <c r="V345" s="134">
        <v>4</v>
      </c>
      <c r="W345" s="134">
        <v>13</v>
      </c>
    </row>
    <row r="346" spans="1:23" ht="72.75" customHeight="1">
      <c r="A346" s="230" t="s">
        <v>666</v>
      </c>
      <c r="B346" s="230" t="s">
        <v>701</v>
      </c>
      <c r="C346" s="229" t="s">
        <v>760</v>
      </c>
      <c r="D346" s="134">
        <v>0</v>
      </c>
      <c r="E346" s="134">
        <v>0</v>
      </c>
      <c r="F346" s="134">
        <v>0</v>
      </c>
      <c r="G346" s="134">
        <v>0</v>
      </c>
      <c r="H346" s="134">
        <v>229</v>
      </c>
      <c r="I346" s="134">
        <v>149</v>
      </c>
      <c r="J346" s="134">
        <v>1018</v>
      </c>
      <c r="K346" s="134">
        <v>807</v>
      </c>
      <c r="L346" s="134">
        <v>0</v>
      </c>
      <c r="M346" s="134">
        <v>0</v>
      </c>
      <c r="N346" s="134">
        <v>0</v>
      </c>
      <c r="O346" s="134">
        <v>0</v>
      </c>
      <c r="P346" s="136">
        <v>0</v>
      </c>
      <c r="Q346" s="136">
        <v>0</v>
      </c>
      <c r="R346" s="134">
        <v>0</v>
      </c>
      <c r="S346" s="134">
        <v>0</v>
      </c>
      <c r="T346" s="134">
        <v>44</v>
      </c>
      <c r="U346" s="134">
        <v>63</v>
      </c>
      <c r="V346" s="134">
        <v>57</v>
      </c>
      <c r="W346" s="134">
        <v>31</v>
      </c>
    </row>
    <row r="347" spans="1:23" ht="72.75" customHeight="1">
      <c r="A347" s="230" t="s">
        <v>666</v>
      </c>
      <c r="B347" s="230" t="s">
        <v>701</v>
      </c>
      <c r="C347" s="229" t="s">
        <v>761</v>
      </c>
      <c r="D347" s="134">
        <v>0</v>
      </c>
      <c r="E347" s="134">
        <v>0</v>
      </c>
      <c r="F347" s="134">
        <v>0</v>
      </c>
      <c r="G347" s="134">
        <v>0</v>
      </c>
      <c r="H347" s="134">
        <v>88</v>
      </c>
      <c r="I347" s="134">
        <v>12</v>
      </c>
      <c r="J347" s="134">
        <v>728</v>
      </c>
      <c r="K347" s="134">
        <v>51</v>
      </c>
      <c r="L347" s="134">
        <v>0</v>
      </c>
      <c r="M347" s="134">
        <v>0</v>
      </c>
      <c r="N347" s="134">
        <v>0</v>
      </c>
      <c r="O347" s="134">
        <v>0</v>
      </c>
      <c r="P347" s="136">
        <v>0</v>
      </c>
      <c r="Q347" s="136">
        <v>0</v>
      </c>
      <c r="R347" s="134">
        <v>0</v>
      </c>
      <c r="S347" s="134">
        <v>0</v>
      </c>
      <c r="T347" s="134">
        <v>48</v>
      </c>
      <c r="U347" s="134">
        <v>9</v>
      </c>
      <c r="V347" s="134">
        <v>40</v>
      </c>
      <c r="W347" s="134">
        <v>1</v>
      </c>
    </row>
    <row r="348" spans="1:23" ht="72.75" customHeight="1">
      <c r="A348" s="230" t="s">
        <v>666</v>
      </c>
      <c r="B348" s="230" t="s">
        <v>701</v>
      </c>
      <c r="C348" s="229" t="s">
        <v>762</v>
      </c>
      <c r="D348" s="134">
        <v>0</v>
      </c>
      <c r="E348" s="134">
        <v>0</v>
      </c>
      <c r="F348" s="134">
        <v>0</v>
      </c>
      <c r="G348" s="134">
        <v>0</v>
      </c>
      <c r="H348" s="134">
        <v>133</v>
      </c>
      <c r="I348" s="134">
        <v>10</v>
      </c>
      <c r="J348" s="134">
        <v>827</v>
      </c>
      <c r="K348" s="134">
        <v>100</v>
      </c>
      <c r="L348" s="134">
        <v>0</v>
      </c>
      <c r="M348" s="134">
        <v>0</v>
      </c>
      <c r="N348" s="134">
        <v>0</v>
      </c>
      <c r="O348" s="134">
        <v>0</v>
      </c>
      <c r="P348" s="136">
        <v>0</v>
      </c>
      <c r="Q348" s="136">
        <v>0</v>
      </c>
      <c r="R348" s="134">
        <v>0</v>
      </c>
      <c r="S348" s="134">
        <v>0</v>
      </c>
      <c r="T348" s="134">
        <v>22</v>
      </c>
      <c r="U348" s="134">
        <v>5</v>
      </c>
      <c r="V348" s="134">
        <v>23</v>
      </c>
      <c r="W348" s="134">
        <v>0</v>
      </c>
    </row>
    <row r="349" spans="1:23" ht="72.75" customHeight="1">
      <c r="A349" s="230" t="s">
        <v>666</v>
      </c>
      <c r="B349" s="230" t="s">
        <v>701</v>
      </c>
      <c r="C349" s="229" t="s">
        <v>763</v>
      </c>
      <c r="D349" s="134">
        <v>0</v>
      </c>
      <c r="E349" s="134">
        <v>0</v>
      </c>
      <c r="F349" s="134">
        <v>0</v>
      </c>
      <c r="G349" s="134">
        <v>0</v>
      </c>
      <c r="H349" s="134">
        <v>134</v>
      </c>
      <c r="I349" s="134">
        <v>69</v>
      </c>
      <c r="J349" s="134">
        <v>512</v>
      </c>
      <c r="K349" s="134">
        <v>323</v>
      </c>
      <c r="L349" s="134">
        <v>0</v>
      </c>
      <c r="M349" s="134">
        <v>0</v>
      </c>
      <c r="N349" s="134">
        <v>0</v>
      </c>
      <c r="O349" s="134">
        <v>0</v>
      </c>
      <c r="P349" s="136">
        <v>0</v>
      </c>
      <c r="Q349" s="136">
        <v>0</v>
      </c>
      <c r="R349" s="134">
        <v>0</v>
      </c>
      <c r="S349" s="134">
        <v>0</v>
      </c>
      <c r="T349" s="134">
        <v>49</v>
      </c>
      <c r="U349" s="134">
        <v>42</v>
      </c>
      <c r="V349" s="134">
        <v>19</v>
      </c>
      <c r="W349" s="134">
        <v>14</v>
      </c>
    </row>
    <row r="350" spans="1:23" ht="72.75" customHeight="1">
      <c r="A350" s="230" t="s">
        <v>666</v>
      </c>
      <c r="B350" s="230" t="s">
        <v>701</v>
      </c>
      <c r="C350" s="229" t="s">
        <v>764</v>
      </c>
      <c r="D350" s="134">
        <v>0</v>
      </c>
      <c r="E350" s="134">
        <v>0</v>
      </c>
      <c r="F350" s="134">
        <v>0</v>
      </c>
      <c r="G350" s="134">
        <v>0</v>
      </c>
      <c r="H350" s="134">
        <v>322</v>
      </c>
      <c r="I350" s="134">
        <v>59</v>
      </c>
      <c r="J350" s="134">
        <v>1072</v>
      </c>
      <c r="K350" s="134">
        <v>286</v>
      </c>
      <c r="L350" s="134">
        <v>0</v>
      </c>
      <c r="M350" s="134">
        <v>0</v>
      </c>
      <c r="N350" s="134">
        <v>0</v>
      </c>
      <c r="O350" s="134">
        <v>0</v>
      </c>
      <c r="P350" s="136">
        <v>0</v>
      </c>
      <c r="Q350" s="136">
        <v>0</v>
      </c>
      <c r="R350" s="134">
        <v>0</v>
      </c>
      <c r="S350" s="134">
        <v>0</v>
      </c>
      <c r="T350" s="134">
        <v>29</v>
      </c>
      <c r="U350" s="134">
        <v>18</v>
      </c>
      <c r="V350" s="134">
        <v>76</v>
      </c>
      <c r="W350" s="134">
        <v>20</v>
      </c>
    </row>
    <row r="351" spans="1:23" ht="72.75" customHeight="1">
      <c r="A351" s="230" t="s">
        <v>666</v>
      </c>
      <c r="B351" s="230" t="s">
        <v>701</v>
      </c>
      <c r="C351" s="229" t="s">
        <v>765</v>
      </c>
      <c r="D351" s="134">
        <v>0</v>
      </c>
      <c r="E351" s="134">
        <v>0</v>
      </c>
      <c r="F351" s="134">
        <v>0</v>
      </c>
      <c r="G351" s="134">
        <v>0</v>
      </c>
      <c r="H351" s="134">
        <v>149</v>
      </c>
      <c r="I351" s="134">
        <v>20</v>
      </c>
      <c r="J351" s="134">
        <v>963</v>
      </c>
      <c r="K351" s="134">
        <v>312</v>
      </c>
      <c r="L351" s="134">
        <v>0</v>
      </c>
      <c r="M351" s="134">
        <v>0</v>
      </c>
      <c r="N351" s="134">
        <v>0</v>
      </c>
      <c r="O351" s="134">
        <v>0</v>
      </c>
      <c r="P351" s="136">
        <v>0</v>
      </c>
      <c r="Q351" s="136">
        <v>0</v>
      </c>
      <c r="R351" s="134">
        <v>0</v>
      </c>
      <c r="S351" s="134">
        <v>0</v>
      </c>
      <c r="T351" s="134">
        <v>44</v>
      </c>
      <c r="U351" s="134">
        <v>12</v>
      </c>
      <c r="V351" s="134">
        <v>76</v>
      </c>
      <c r="W351" s="134">
        <v>17</v>
      </c>
    </row>
    <row r="352" spans="1:23" ht="72.75" customHeight="1">
      <c r="A352" s="230" t="s">
        <v>666</v>
      </c>
      <c r="B352" s="230" t="s">
        <v>701</v>
      </c>
      <c r="C352" s="229" t="s">
        <v>766</v>
      </c>
      <c r="D352" s="134">
        <v>0</v>
      </c>
      <c r="E352" s="134">
        <v>0</v>
      </c>
      <c r="F352" s="134">
        <v>1</v>
      </c>
      <c r="G352" s="134">
        <v>0</v>
      </c>
      <c r="H352" s="134">
        <v>111</v>
      </c>
      <c r="I352" s="134">
        <v>9</v>
      </c>
      <c r="J352" s="134">
        <v>808</v>
      </c>
      <c r="K352" s="134">
        <v>65</v>
      </c>
      <c r="L352" s="134">
        <v>0</v>
      </c>
      <c r="M352" s="134">
        <v>0</v>
      </c>
      <c r="N352" s="134">
        <v>0</v>
      </c>
      <c r="O352" s="134">
        <v>0</v>
      </c>
      <c r="P352" s="136">
        <v>0</v>
      </c>
      <c r="Q352" s="136">
        <v>0</v>
      </c>
      <c r="R352" s="134">
        <v>0</v>
      </c>
      <c r="S352" s="134">
        <v>0</v>
      </c>
      <c r="T352" s="134">
        <v>56</v>
      </c>
      <c r="U352" s="134">
        <v>10</v>
      </c>
      <c r="V352" s="134">
        <v>46</v>
      </c>
      <c r="W352" s="134">
        <v>5</v>
      </c>
    </row>
    <row r="353" spans="1:23" ht="72.75" customHeight="1">
      <c r="A353" s="230" t="s">
        <v>666</v>
      </c>
      <c r="B353" s="230" t="s">
        <v>701</v>
      </c>
      <c r="C353" s="229" t="s">
        <v>767</v>
      </c>
      <c r="D353" s="134">
        <v>0</v>
      </c>
      <c r="E353" s="134">
        <v>0</v>
      </c>
      <c r="F353" s="134">
        <v>1</v>
      </c>
      <c r="G353" s="134">
        <v>0</v>
      </c>
      <c r="H353" s="134">
        <v>27</v>
      </c>
      <c r="I353" s="134">
        <v>32</v>
      </c>
      <c r="J353" s="134">
        <v>71</v>
      </c>
      <c r="K353" s="134">
        <v>229</v>
      </c>
      <c r="L353" s="134">
        <v>0</v>
      </c>
      <c r="M353" s="134">
        <v>0</v>
      </c>
      <c r="N353" s="134">
        <v>0</v>
      </c>
      <c r="O353" s="134">
        <v>0</v>
      </c>
      <c r="P353" s="136">
        <v>0</v>
      </c>
      <c r="Q353" s="136">
        <v>0</v>
      </c>
      <c r="R353" s="134">
        <v>0</v>
      </c>
      <c r="S353" s="134">
        <v>0</v>
      </c>
      <c r="T353" s="134">
        <v>6</v>
      </c>
      <c r="U353" s="134">
        <v>16</v>
      </c>
      <c r="V353" s="134">
        <v>3</v>
      </c>
      <c r="W353" s="134">
        <v>6</v>
      </c>
    </row>
    <row r="354" spans="1:23" ht="72.75" customHeight="1">
      <c r="A354" s="230" t="s">
        <v>666</v>
      </c>
      <c r="B354" s="230" t="s">
        <v>701</v>
      </c>
      <c r="C354" s="229" t="s">
        <v>768</v>
      </c>
      <c r="D354" s="134">
        <v>0</v>
      </c>
      <c r="E354" s="134">
        <v>0</v>
      </c>
      <c r="F354" s="134">
        <v>1</v>
      </c>
      <c r="G354" s="134">
        <v>0</v>
      </c>
      <c r="H354" s="134">
        <v>19</v>
      </c>
      <c r="I354" s="134">
        <v>30</v>
      </c>
      <c r="J354" s="134">
        <v>142</v>
      </c>
      <c r="K354" s="134">
        <v>429</v>
      </c>
      <c r="L354" s="134">
        <v>0</v>
      </c>
      <c r="M354" s="134">
        <v>0</v>
      </c>
      <c r="N354" s="134">
        <v>0</v>
      </c>
      <c r="O354" s="134">
        <v>0</v>
      </c>
      <c r="P354" s="136">
        <v>0</v>
      </c>
      <c r="Q354" s="136">
        <v>0</v>
      </c>
      <c r="R354" s="134">
        <v>0</v>
      </c>
      <c r="S354" s="134">
        <v>0</v>
      </c>
      <c r="T354" s="134">
        <v>8</v>
      </c>
      <c r="U354" s="134">
        <v>17</v>
      </c>
      <c r="V354" s="134">
        <v>5</v>
      </c>
      <c r="W354" s="134">
        <v>13</v>
      </c>
    </row>
    <row r="355" spans="1:23" ht="72.75" customHeight="1">
      <c r="A355" s="230" t="s">
        <v>666</v>
      </c>
      <c r="B355" s="230" t="s">
        <v>701</v>
      </c>
      <c r="C355" s="229" t="s">
        <v>769</v>
      </c>
      <c r="D355" s="134">
        <v>0</v>
      </c>
      <c r="E355" s="134">
        <v>0</v>
      </c>
      <c r="F355" s="134">
        <v>0</v>
      </c>
      <c r="G355" s="134">
        <v>0</v>
      </c>
      <c r="H355" s="134">
        <v>49</v>
      </c>
      <c r="I355" s="134">
        <v>50</v>
      </c>
      <c r="J355" s="134">
        <v>713</v>
      </c>
      <c r="K355" s="134">
        <v>389</v>
      </c>
      <c r="L355" s="134">
        <v>0</v>
      </c>
      <c r="M355" s="134">
        <v>0</v>
      </c>
      <c r="N355" s="134">
        <v>0</v>
      </c>
      <c r="O355" s="134">
        <v>0</v>
      </c>
      <c r="P355" s="136">
        <v>0</v>
      </c>
      <c r="Q355" s="136">
        <v>0</v>
      </c>
      <c r="R355" s="134">
        <v>0</v>
      </c>
      <c r="S355" s="134">
        <v>0</v>
      </c>
      <c r="T355" s="134">
        <v>14</v>
      </c>
      <c r="U355" s="134">
        <v>31</v>
      </c>
      <c r="V355" s="134">
        <v>8</v>
      </c>
      <c r="W355" s="134">
        <v>11</v>
      </c>
    </row>
    <row r="356" spans="1:23" ht="72.75" customHeight="1">
      <c r="A356" s="230" t="s">
        <v>666</v>
      </c>
      <c r="B356" s="230" t="s">
        <v>701</v>
      </c>
      <c r="C356" s="229" t="s">
        <v>770</v>
      </c>
      <c r="D356" s="134">
        <v>0</v>
      </c>
      <c r="E356" s="134">
        <v>0</v>
      </c>
      <c r="F356" s="134">
        <v>0</v>
      </c>
      <c r="G356" s="134">
        <v>0</v>
      </c>
      <c r="H356" s="134">
        <v>28</v>
      </c>
      <c r="I356" s="134">
        <v>25</v>
      </c>
      <c r="J356" s="134">
        <v>103</v>
      </c>
      <c r="K356" s="134">
        <v>80</v>
      </c>
      <c r="L356" s="134">
        <v>0</v>
      </c>
      <c r="M356" s="134">
        <v>0</v>
      </c>
      <c r="N356" s="134">
        <v>0</v>
      </c>
      <c r="O356" s="134">
        <v>0</v>
      </c>
      <c r="P356" s="136">
        <v>0</v>
      </c>
      <c r="Q356" s="136">
        <v>0</v>
      </c>
      <c r="R356" s="134">
        <v>0</v>
      </c>
      <c r="S356" s="134">
        <v>0</v>
      </c>
      <c r="T356" s="134">
        <v>3</v>
      </c>
      <c r="U356" s="134">
        <v>4</v>
      </c>
      <c r="V356" s="134">
        <v>7</v>
      </c>
      <c r="W356" s="134">
        <v>6</v>
      </c>
    </row>
    <row r="357" spans="1:23" ht="72.75" customHeight="1">
      <c r="A357" s="230" t="s">
        <v>666</v>
      </c>
      <c r="B357" s="230" t="s">
        <v>701</v>
      </c>
      <c r="C357" s="229" t="s">
        <v>771</v>
      </c>
      <c r="D357" s="134">
        <v>0</v>
      </c>
      <c r="E357" s="134">
        <v>0</v>
      </c>
      <c r="F357" s="134">
        <v>2</v>
      </c>
      <c r="G357" s="134">
        <v>0</v>
      </c>
      <c r="H357" s="134">
        <v>96</v>
      </c>
      <c r="I357" s="134">
        <v>56</v>
      </c>
      <c r="J357" s="134">
        <v>281</v>
      </c>
      <c r="K357" s="134">
        <v>212</v>
      </c>
      <c r="L357" s="134">
        <v>0</v>
      </c>
      <c r="M357" s="134">
        <v>0</v>
      </c>
      <c r="N357" s="134">
        <v>0</v>
      </c>
      <c r="O357" s="134">
        <v>0</v>
      </c>
      <c r="P357" s="136">
        <v>0</v>
      </c>
      <c r="Q357" s="136">
        <v>0</v>
      </c>
      <c r="R357" s="134">
        <v>0</v>
      </c>
      <c r="S357" s="134">
        <v>0</v>
      </c>
      <c r="T357" s="134">
        <v>11</v>
      </c>
      <c r="U357" s="134">
        <v>3</v>
      </c>
      <c r="V357" s="134">
        <v>19</v>
      </c>
      <c r="W357" s="134">
        <v>14</v>
      </c>
    </row>
    <row r="358" spans="1:23" ht="72.75" customHeight="1">
      <c r="A358" s="230" t="s">
        <v>666</v>
      </c>
      <c r="B358" s="230" t="s">
        <v>701</v>
      </c>
      <c r="C358" s="229" t="s">
        <v>772</v>
      </c>
      <c r="D358" s="134">
        <v>0</v>
      </c>
      <c r="E358" s="134">
        <v>0</v>
      </c>
      <c r="F358" s="134">
        <v>0</v>
      </c>
      <c r="G358" s="134">
        <v>0</v>
      </c>
      <c r="H358" s="134">
        <v>55</v>
      </c>
      <c r="I358" s="134">
        <v>52</v>
      </c>
      <c r="J358" s="134">
        <v>171</v>
      </c>
      <c r="K358" s="134">
        <v>160</v>
      </c>
      <c r="L358" s="134">
        <v>0</v>
      </c>
      <c r="M358" s="134">
        <v>0</v>
      </c>
      <c r="N358" s="134">
        <v>0</v>
      </c>
      <c r="O358" s="134">
        <v>0</v>
      </c>
      <c r="P358" s="136">
        <v>0</v>
      </c>
      <c r="Q358" s="136">
        <v>0</v>
      </c>
      <c r="R358" s="134">
        <v>0</v>
      </c>
      <c r="S358" s="134">
        <v>0</v>
      </c>
      <c r="T358" s="134">
        <v>20</v>
      </c>
      <c r="U358" s="134">
        <v>43</v>
      </c>
      <c r="V358" s="134">
        <v>15</v>
      </c>
      <c r="W358" s="134">
        <v>20</v>
      </c>
    </row>
    <row r="359" spans="1:23" ht="72.75" customHeight="1">
      <c r="A359" s="230" t="s">
        <v>666</v>
      </c>
      <c r="B359" s="230" t="s">
        <v>701</v>
      </c>
      <c r="C359" s="229" t="s">
        <v>773</v>
      </c>
      <c r="D359" s="134">
        <v>0</v>
      </c>
      <c r="E359" s="134">
        <v>0</v>
      </c>
      <c r="F359" s="134">
        <v>1</v>
      </c>
      <c r="G359" s="134">
        <v>0</v>
      </c>
      <c r="H359" s="134">
        <v>174</v>
      </c>
      <c r="I359" s="134">
        <v>124</v>
      </c>
      <c r="J359" s="134">
        <v>266</v>
      </c>
      <c r="K359" s="134">
        <v>134</v>
      </c>
      <c r="L359" s="134">
        <v>0</v>
      </c>
      <c r="M359" s="134">
        <v>0</v>
      </c>
      <c r="N359" s="134">
        <v>0</v>
      </c>
      <c r="O359" s="134">
        <v>0</v>
      </c>
      <c r="P359" s="136">
        <v>0</v>
      </c>
      <c r="Q359" s="136">
        <v>0</v>
      </c>
      <c r="R359" s="134">
        <v>0</v>
      </c>
      <c r="S359" s="134">
        <v>0</v>
      </c>
      <c r="T359" s="134">
        <v>41</v>
      </c>
      <c r="U359" s="134">
        <v>43</v>
      </c>
      <c r="V359" s="134">
        <v>45</v>
      </c>
      <c r="W359" s="134">
        <v>22</v>
      </c>
    </row>
    <row r="360" spans="1:23" ht="72.75" customHeight="1">
      <c r="A360" s="230" t="s">
        <v>666</v>
      </c>
      <c r="B360" s="230" t="s">
        <v>701</v>
      </c>
      <c r="C360" s="229" t="s">
        <v>774</v>
      </c>
      <c r="D360" s="134">
        <v>0</v>
      </c>
      <c r="E360" s="134">
        <v>0</v>
      </c>
      <c r="F360" s="134">
        <v>2</v>
      </c>
      <c r="G360" s="134">
        <v>0</v>
      </c>
      <c r="H360" s="134">
        <v>37</v>
      </c>
      <c r="I360" s="134">
        <v>38</v>
      </c>
      <c r="J360" s="134">
        <v>237</v>
      </c>
      <c r="K360" s="134">
        <v>176</v>
      </c>
      <c r="L360" s="134">
        <v>0</v>
      </c>
      <c r="M360" s="134">
        <v>0</v>
      </c>
      <c r="N360" s="134">
        <v>0</v>
      </c>
      <c r="O360" s="134">
        <v>0</v>
      </c>
      <c r="P360" s="136">
        <v>0</v>
      </c>
      <c r="Q360" s="136">
        <v>0</v>
      </c>
      <c r="R360" s="134">
        <v>0</v>
      </c>
      <c r="S360" s="134">
        <v>0</v>
      </c>
      <c r="T360" s="134">
        <v>7</v>
      </c>
      <c r="U360" s="134">
        <v>9</v>
      </c>
      <c r="V360" s="134">
        <v>19</v>
      </c>
      <c r="W360" s="134">
        <v>6</v>
      </c>
    </row>
    <row r="361" spans="1:23" ht="72.75" customHeight="1">
      <c r="A361" s="230" t="s">
        <v>666</v>
      </c>
      <c r="B361" s="230" t="s">
        <v>701</v>
      </c>
      <c r="C361" s="229" t="s">
        <v>775</v>
      </c>
      <c r="D361" s="134">
        <v>0</v>
      </c>
      <c r="E361" s="134">
        <v>0</v>
      </c>
      <c r="F361" s="134">
        <v>2</v>
      </c>
      <c r="G361" s="134">
        <v>0</v>
      </c>
      <c r="H361" s="134">
        <v>18</v>
      </c>
      <c r="I361" s="134">
        <v>34</v>
      </c>
      <c r="J361" s="134">
        <v>140</v>
      </c>
      <c r="K361" s="134">
        <v>258</v>
      </c>
      <c r="L361" s="134">
        <v>0</v>
      </c>
      <c r="M361" s="134">
        <v>0</v>
      </c>
      <c r="N361" s="134">
        <v>0</v>
      </c>
      <c r="O361" s="134">
        <v>0</v>
      </c>
      <c r="P361" s="136">
        <v>0</v>
      </c>
      <c r="Q361" s="136">
        <v>0</v>
      </c>
      <c r="R361" s="134">
        <v>0</v>
      </c>
      <c r="S361" s="134">
        <v>0</v>
      </c>
      <c r="T361" s="134">
        <v>10</v>
      </c>
      <c r="U361" s="134">
        <v>26</v>
      </c>
      <c r="V361" s="134">
        <v>4</v>
      </c>
      <c r="W361" s="134">
        <v>14</v>
      </c>
    </row>
    <row r="362" spans="1:23" ht="72.75" customHeight="1">
      <c r="A362" s="229" t="s">
        <v>323</v>
      </c>
      <c r="B362" s="230" t="s">
        <v>324</v>
      </c>
      <c r="C362" s="229" t="s">
        <v>46</v>
      </c>
      <c r="D362" s="134">
        <v>37</v>
      </c>
      <c r="E362" s="134">
        <v>112</v>
      </c>
      <c r="F362" s="134">
        <v>146</v>
      </c>
      <c r="G362" s="134">
        <v>544</v>
      </c>
      <c r="H362" s="134">
        <v>31</v>
      </c>
      <c r="I362" s="134">
        <v>103</v>
      </c>
      <c r="J362" s="134">
        <v>241</v>
      </c>
      <c r="K362" s="134">
        <v>601</v>
      </c>
      <c r="L362" s="134">
        <v>22</v>
      </c>
      <c r="M362" s="134">
        <v>64</v>
      </c>
      <c r="N362" s="134">
        <v>1</v>
      </c>
      <c r="O362" s="134">
        <v>2</v>
      </c>
      <c r="P362" s="134">
        <v>0</v>
      </c>
      <c r="Q362" s="134">
        <v>0</v>
      </c>
      <c r="R362" s="134">
        <v>3</v>
      </c>
      <c r="S362" s="134">
        <v>9</v>
      </c>
      <c r="T362" s="134">
        <v>20</v>
      </c>
      <c r="U362" s="134">
        <v>64</v>
      </c>
      <c r="V362" s="134">
        <v>1</v>
      </c>
      <c r="W362" s="134">
        <v>18</v>
      </c>
    </row>
    <row r="363" spans="1:23" ht="72.75" customHeight="1">
      <c r="A363" s="229" t="s">
        <v>323</v>
      </c>
      <c r="B363" s="230" t="s">
        <v>324</v>
      </c>
      <c r="C363" s="229" t="s">
        <v>44</v>
      </c>
      <c r="D363" s="134">
        <v>39</v>
      </c>
      <c r="E363" s="134">
        <v>61</v>
      </c>
      <c r="F363" s="134">
        <v>277</v>
      </c>
      <c r="G363" s="134">
        <v>418</v>
      </c>
      <c r="H363" s="134">
        <v>100</v>
      </c>
      <c r="I363" s="134">
        <v>146</v>
      </c>
      <c r="J363" s="134">
        <v>315</v>
      </c>
      <c r="K363" s="134">
        <v>539</v>
      </c>
      <c r="L363" s="134">
        <v>16</v>
      </c>
      <c r="M363" s="136">
        <v>28</v>
      </c>
      <c r="N363" s="136">
        <v>4</v>
      </c>
      <c r="O363" s="136">
        <v>2</v>
      </c>
      <c r="P363" s="136">
        <v>1</v>
      </c>
      <c r="Q363" s="136">
        <v>0</v>
      </c>
      <c r="R363" s="134">
        <v>2</v>
      </c>
      <c r="S363" s="134">
        <v>6</v>
      </c>
      <c r="T363" s="134">
        <v>50</v>
      </c>
      <c r="U363" s="134">
        <v>94</v>
      </c>
      <c r="V363" s="134">
        <v>11</v>
      </c>
      <c r="W363" s="134">
        <v>19</v>
      </c>
    </row>
    <row r="364" spans="1:23" ht="72.75" customHeight="1">
      <c r="A364" s="229" t="s">
        <v>323</v>
      </c>
      <c r="B364" s="230" t="s">
        <v>324</v>
      </c>
      <c r="C364" s="229" t="s">
        <v>325</v>
      </c>
      <c r="D364" s="134">
        <v>31</v>
      </c>
      <c r="E364" s="134">
        <v>97</v>
      </c>
      <c r="F364" s="134">
        <v>26</v>
      </c>
      <c r="G364" s="134">
        <v>117</v>
      </c>
      <c r="H364" s="134">
        <v>19</v>
      </c>
      <c r="I364" s="134">
        <v>20</v>
      </c>
      <c r="J364" s="134">
        <v>333</v>
      </c>
      <c r="K364" s="134">
        <v>780</v>
      </c>
      <c r="L364" s="134">
        <v>4</v>
      </c>
      <c r="M364" s="136">
        <v>38</v>
      </c>
      <c r="N364" s="136">
        <v>2</v>
      </c>
      <c r="O364" s="136">
        <v>1</v>
      </c>
      <c r="P364" s="136">
        <v>0</v>
      </c>
      <c r="Q364" s="136">
        <v>0</v>
      </c>
      <c r="R364" s="136">
        <v>3</v>
      </c>
      <c r="S364" s="136">
        <v>6</v>
      </c>
      <c r="T364" s="136">
        <v>1</v>
      </c>
      <c r="U364" s="136">
        <v>8</v>
      </c>
      <c r="V364" s="136">
        <v>1</v>
      </c>
      <c r="W364" s="136">
        <v>2</v>
      </c>
    </row>
    <row r="365" spans="1:23" ht="72.75" customHeight="1">
      <c r="A365" s="229" t="s">
        <v>323</v>
      </c>
      <c r="B365" s="230" t="s">
        <v>152</v>
      </c>
      <c r="C365" s="229" t="s">
        <v>32</v>
      </c>
      <c r="D365" s="136">
        <v>36</v>
      </c>
      <c r="E365" s="136">
        <v>26</v>
      </c>
      <c r="F365" s="136">
        <v>270</v>
      </c>
      <c r="G365" s="136">
        <v>365</v>
      </c>
      <c r="H365" s="136">
        <v>126</v>
      </c>
      <c r="I365" s="136">
        <v>109</v>
      </c>
      <c r="J365" s="136">
        <v>960</v>
      </c>
      <c r="K365" s="136">
        <v>481</v>
      </c>
      <c r="L365" s="136">
        <v>35</v>
      </c>
      <c r="M365" s="136">
        <v>35</v>
      </c>
      <c r="N365" s="136">
        <v>0</v>
      </c>
      <c r="O365" s="136">
        <v>5</v>
      </c>
      <c r="P365" s="136">
        <v>0</v>
      </c>
      <c r="Q365" s="136">
        <v>0</v>
      </c>
      <c r="R365" s="136">
        <v>2</v>
      </c>
      <c r="S365" s="136">
        <v>6</v>
      </c>
      <c r="T365" s="136">
        <v>31</v>
      </c>
      <c r="U365" s="136">
        <v>40</v>
      </c>
      <c r="V365" s="136">
        <v>39</v>
      </c>
      <c r="W365" s="136">
        <v>39</v>
      </c>
    </row>
    <row r="366" spans="1:23" ht="72.75" customHeight="1">
      <c r="A366" s="229" t="s">
        <v>323</v>
      </c>
      <c r="B366" s="230" t="s">
        <v>152</v>
      </c>
      <c r="C366" s="229" t="s">
        <v>34</v>
      </c>
      <c r="D366" s="134">
        <v>23</v>
      </c>
      <c r="E366" s="134">
        <v>24</v>
      </c>
      <c r="F366" s="134">
        <v>241</v>
      </c>
      <c r="G366" s="134">
        <v>243</v>
      </c>
      <c r="H366" s="134">
        <v>112</v>
      </c>
      <c r="I366" s="134">
        <v>54</v>
      </c>
      <c r="J366" s="134">
        <v>676</v>
      </c>
      <c r="K366" s="134">
        <v>283</v>
      </c>
      <c r="L366" s="134">
        <v>22</v>
      </c>
      <c r="M366" s="136">
        <v>13</v>
      </c>
      <c r="N366" s="136">
        <v>5</v>
      </c>
      <c r="O366" s="136">
        <v>2</v>
      </c>
      <c r="P366" s="136">
        <v>0</v>
      </c>
      <c r="Q366" s="136">
        <v>0</v>
      </c>
      <c r="R366" s="136">
        <v>3</v>
      </c>
      <c r="S366" s="136">
        <v>0</v>
      </c>
      <c r="T366" s="136">
        <v>28</v>
      </c>
      <c r="U366" s="136">
        <v>27</v>
      </c>
      <c r="V366" s="136">
        <v>31</v>
      </c>
      <c r="W366" s="136">
        <v>15</v>
      </c>
    </row>
    <row r="367" spans="1:23" ht="72.75" customHeight="1">
      <c r="A367" s="229" t="s">
        <v>323</v>
      </c>
      <c r="B367" s="230" t="s">
        <v>152</v>
      </c>
      <c r="C367" s="229" t="s">
        <v>35</v>
      </c>
      <c r="D367" s="134">
        <v>49</v>
      </c>
      <c r="E367" s="134">
        <v>100</v>
      </c>
      <c r="F367" s="134">
        <v>152</v>
      </c>
      <c r="G367" s="134">
        <v>359</v>
      </c>
      <c r="H367" s="134">
        <v>58</v>
      </c>
      <c r="I367" s="134">
        <v>73</v>
      </c>
      <c r="J367" s="134">
        <v>205</v>
      </c>
      <c r="K367" s="134">
        <v>170</v>
      </c>
      <c r="L367" s="134">
        <v>42</v>
      </c>
      <c r="M367" s="136">
        <v>70</v>
      </c>
      <c r="N367" s="136">
        <v>6</v>
      </c>
      <c r="O367" s="136">
        <v>6</v>
      </c>
      <c r="P367" s="136">
        <v>0</v>
      </c>
      <c r="Q367" s="136">
        <v>0</v>
      </c>
      <c r="R367" s="136">
        <v>11</v>
      </c>
      <c r="S367" s="136">
        <v>34</v>
      </c>
      <c r="T367" s="136">
        <v>8</v>
      </c>
      <c r="U367" s="136">
        <v>26</v>
      </c>
      <c r="V367" s="136">
        <v>1</v>
      </c>
      <c r="W367" s="136">
        <v>3</v>
      </c>
    </row>
    <row r="368" spans="1:23" ht="72.75" customHeight="1">
      <c r="A368" s="229" t="s">
        <v>323</v>
      </c>
      <c r="B368" s="230" t="s">
        <v>144</v>
      </c>
      <c r="C368" s="229" t="s">
        <v>61</v>
      </c>
      <c r="D368" s="134">
        <v>57</v>
      </c>
      <c r="E368" s="134">
        <v>100</v>
      </c>
      <c r="F368" s="134">
        <v>340</v>
      </c>
      <c r="G368" s="134">
        <v>488</v>
      </c>
      <c r="H368" s="134">
        <v>28</v>
      </c>
      <c r="I368" s="134">
        <v>23</v>
      </c>
      <c r="J368" s="134">
        <v>187</v>
      </c>
      <c r="K368" s="134">
        <v>145</v>
      </c>
      <c r="L368" s="134">
        <v>13</v>
      </c>
      <c r="M368" s="136">
        <v>39</v>
      </c>
      <c r="N368" s="136">
        <v>3</v>
      </c>
      <c r="O368" s="136">
        <v>1</v>
      </c>
      <c r="P368" s="136">
        <v>0</v>
      </c>
      <c r="Q368" s="136">
        <v>0</v>
      </c>
      <c r="R368" s="136">
        <v>35</v>
      </c>
      <c r="S368" s="136">
        <v>60</v>
      </c>
      <c r="T368" s="136">
        <v>22</v>
      </c>
      <c r="U368" s="136">
        <v>29</v>
      </c>
      <c r="V368" s="136">
        <v>5</v>
      </c>
      <c r="W368" s="136">
        <v>7</v>
      </c>
    </row>
    <row r="369" spans="1:23" ht="72.75" customHeight="1">
      <c r="A369" s="229" t="s">
        <v>323</v>
      </c>
      <c r="B369" s="230" t="s">
        <v>144</v>
      </c>
      <c r="C369" s="229" t="s">
        <v>326</v>
      </c>
      <c r="D369" s="134">
        <v>51</v>
      </c>
      <c r="E369" s="134">
        <v>96</v>
      </c>
      <c r="F369" s="134">
        <v>152</v>
      </c>
      <c r="G369" s="134">
        <v>428</v>
      </c>
      <c r="H369" s="134">
        <v>42</v>
      </c>
      <c r="I369" s="134">
        <v>87</v>
      </c>
      <c r="J369" s="134">
        <v>110</v>
      </c>
      <c r="K369" s="134">
        <v>125</v>
      </c>
      <c r="L369" s="134">
        <v>11</v>
      </c>
      <c r="M369" s="136">
        <v>21</v>
      </c>
      <c r="N369" s="136">
        <v>0</v>
      </c>
      <c r="O369" s="136">
        <v>4</v>
      </c>
      <c r="P369" s="136">
        <v>0</v>
      </c>
      <c r="Q369" s="136">
        <v>0</v>
      </c>
      <c r="R369" s="134">
        <v>6</v>
      </c>
      <c r="S369" s="134">
        <v>12</v>
      </c>
      <c r="T369" s="134">
        <v>11</v>
      </c>
      <c r="U369" s="134">
        <v>24</v>
      </c>
      <c r="V369" s="134">
        <v>7</v>
      </c>
      <c r="W369" s="134">
        <v>8</v>
      </c>
    </row>
    <row r="370" spans="1:23" ht="72.75" customHeight="1">
      <c r="A370" s="229" t="s">
        <v>323</v>
      </c>
      <c r="B370" s="230" t="s">
        <v>144</v>
      </c>
      <c r="C370" s="229" t="s">
        <v>327</v>
      </c>
      <c r="D370" s="136">
        <v>37</v>
      </c>
      <c r="E370" s="136">
        <v>122</v>
      </c>
      <c r="F370" s="136">
        <v>102</v>
      </c>
      <c r="G370" s="136">
        <v>408</v>
      </c>
      <c r="H370" s="136">
        <v>19</v>
      </c>
      <c r="I370" s="136">
        <v>44</v>
      </c>
      <c r="J370" s="136">
        <v>0</v>
      </c>
      <c r="K370" s="136">
        <v>0</v>
      </c>
      <c r="L370" s="136">
        <v>7</v>
      </c>
      <c r="M370" s="136">
        <v>58</v>
      </c>
      <c r="N370" s="136">
        <v>1</v>
      </c>
      <c r="O370" s="136">
        <v>1</v>
      </c>
      <c r="P370" s="136">
        <v>0</v>
      </c>
      <c r="Q370" s="136">
        <v>0</v>
      </c>
      <c r="R370" s="136">
        <v>27</v>
      </c>
      <c r="S370" s="136">
        <v>163</v>
      </c>
      <c r="T370" s="136">
        <v>0</v>
      </c>
      <c r="U370" s="136">
        <v>6</v>
      </c>
      <c r="V370" s="136">
        <v>0</v>
      </c>
      <c r="W370" s="136">
        <v>0</v>
      </c>
    </row>
    <row r="371" spans="1:23" ht="72.75" customHeight="1">
      <c r="A371" s="229" t="s">
        <v>323</v>
      </c>
      <c r="B371" s="230" t="s">
        <v>144</v>
      </c>
      <c r="C371" s="229" t="s">
        <v>328</v>
      </c>
      <c r="D371" s="134">
        <v>0</v>
      </c>
      <c r="E371" s="134">
        <v>0</v>
      </c>
      <c r="F371" s="134">
        <v>0</v>
      </c>
      <c r="G371" s="134">
        <v>0</v>
      </c>
      <c r="H371" s="134">
        <v>101</v>
      </c>
      <c r="I371" s="134">
        <v>299</v>
      </c>
      <c r="J371" s="134">
        <v>0</v>
      </c>
      <c r="K371" s="134">
        <v>0</v>
      </c>
      <c r="L371" s="134">
        <v>0</v>
      </c>
      <c r="M371" s="136">
        <v>0</v>
      </c>
      <c r="N371" s="136">
        <v>0</v>
      </c>
      <c r="O371" s="136">
        <v>0</v>
      </c>
      <c r="P371" s="136">
        <v>0</v>
      </c>
      <c r="Q371" s="136">
        <v>0</v>
      </c>
      <c r="R371" s="134">
        <v>0</v>
      </c>
      <c r="S371" s="134">
        <v>0</v>
      </c>
      <c r="T371" s="134">
        <v>12</v>
      </c>
      <c r="U371" s="134">
        <v>39</v>
      </c>
      <c r="V371" s="134">
        <v>0</v>
      </c>
      <c r="W371" s="134">
        <v>0</v>
      </c>
    </row>
    <row r="372" spans="1:23" ht="72.75" customHeight="1">
      <c r="A372" s="229" t="s">
        <v>323</v>
      </c>
      <c r="B372" s="230" t="s">
        <v>329</v>
      </c>
      <c r="C372" s="229" t="s">
        <v>330</v>
      </c>
      <c r="D372" s="136">
        <v>21</v>
      </c>
      <c r="E372" s="136">
        <v>144</v>
      </c>
      <c r="F372" s="136">
        <v>78</v>
      </c>
      <c r="G372" s="136">
        <v>571</v>
      </c>
      <c r="H372" s="136">
        <v>0</v>
      </c>
      <c r="I372" s="136">
        <v>5</v>
      </c>
      <c r="J372" s="136">
        <v>0</v>
      </c>
      <c r="K372" s="136">
        <v>0</v>
      </c>
      <c r="L372" s="136">
        <v>10</v>
      </c>
      <c r="M372" s="136">
        <v>35</v>
      </c>
      <c r="N372" s="136">
        <v>0</v>
      </c>
      <c r="O372" s="136">
        <v>1</v>
      </c>
      <c r="P372" s="136">
        <v>0</v>
      </c>
      <c r="Q372" s="136">
        <v>0</v>
      </c>
      <c r="R372" s="136">
        <v>3</v>
      </c>
      <c r="S372" s="136">
        <v>68</v>
      </c>
      <c r="T372" s="136">
        <v>10</v>
      </c>
      <c r="U372" s="136">
        <v>68</v>
      </c>
      <c r="V372" s="136">
        <v>0</v>
      </c>
      <c r="W372" s="136">
        <v>0</v>
      </c>
    </row>
    <row r="373" spans="1:23" ht="72.75" customHeight="1">
      <c r="A373" s="230" t="s">
        <v>323</v>
      </c>
      <c r="B373" s="230" t="s">
        <v>329</v>
      </c>
      <c r="C373" s="229" t="s">
        <v>331</v>
      </c>
      <c r="D373" s="136">
        <v>0</v>
      </c>
      <c r="E373" s="136">
        <v>0</v>
      </c>
      <c r="F373" s="136">
        <v>0</v>
      </c>
      <c r="G373" s="136">
        <v>5</v>
      </c>
      <c r="H373" s="136">
        <v>5</v>
      </c>
      <c r="I373" s="136">
        <v>68</v>
      </c>
      <c r="J373" s="136">
        <v>38</v>
      </c>
      <c r="K373" s="136">
        <v>106</v>
      </c>
      <c r="L373" s="136">
        <v>0</v>
      </c>
      <c r="M373" s="136">
        <v>0</v>
      </c>
      <c r="N373" s="136">
        <v>0</v>
      </c>
      <c r="O373" s="136">
        <v>0</v>
      </c>
      <c r="P373" s="136">
        <v>0</v>
      </c>
      <c r="Q373" s="136">
        <v>0</v>
      </c>
      <c r="R373" s="136">
        <v>0</v>
      </c>
      <c r="S373" s="136">
        <v>0</v>
      </c>
      <c r="T373" s="136">
        <v>1</v>
      </c>
      <c r="U373" s="136">
        <v>15</v>
      </c>
      <c r="V373" s="136">
        <v>5</v>
      </c>
      <c r="W373" s="136">
        <v>12</v>
      </c>
    </row>
    <row r="374" spans="1:23" ht="72.75" customHeight="1">
      <c r="A374" s="230" t="s">
        <v>323</v>
      </c>
      <c r="B374" s="230" t="s">
        <v>332</v>
      </c>
      <c r="C374" s="229" t="s">
        <v>147</v>
      </c>
      <c r="D374" s="134">
        <v>63</v>
      </c>
      <c r="E374" s="134">
        <v>189</v>
      </c>
      <c r="F374" s="134">
        <v>183</v>
      </c>
      <c r="G374" s="134">
        <v>717</v>
      </c>
      <c r="H374" s="134">
        <v>32</v>
      </c>
      <c r="I374" s="134">
        <v>88</v>
      </c>
      <c r="J374" s="134">
        <v>6</v>
      </c>
      <c r="K374" s="134">
        <v>5</v>
      </c>
      <c r="L374" s="134">
        <v>18</v>
      </c>
      <c r="M374" s="134">
        <v>46</v>
      </c>
      <c r="N374" s="134">
        <v>2</v>
      </c>
      <c r="O374" s="134">
        <v>1</v>
      </c>
      <c r="P374" s="134">
        <v>0</v>
      </c>
      <c r="Q374" s="134">
        <v>0</v>
      </c>
      <c r="R374" s="134">
        <v>23</v>
      </c>
      <c r="S374" s="134">
        <v>98</v>
      </c>
      <c r="T374" s="134">
        <v>24</v>
      </c>
      <c r="U374" s="134">
        <v>104</v>
      </c>
      <c r="V374" s="134">
        <v>1</v>
      </c>
      <c r="W374" s="134">
        <v>0</v>
      </c>
    </row>
    <row r="375" spans="1:23" ht="72.75" customHeight="1">
      <c r="A375" s="229" t="s">
        <v>323</v>
      </c>
      <c r="B375" s="230" t="s">
        <v>332</v>
      </c>
      <c r="C375" s="229" t="s">
        <v>333</v>
      </c>
      <c r="D375" s="77">
        <v>21</v>
      </c>
      <c r="E375" s="77">
        <v>279</v>
      </c>
      <c r="F375" s="77">
        <v>63</v>
      </c>
      <c r="G375" s="77">
        <v>973</v>
      </c>
      <c r="H375" s="77">
        <v>14</v>
      </c>
      <c r="I375" s="77">
        <v>103</v>
      </c>
      <c r="J375" s="77">
        <v>78</v>
      </c>
      <c r="K375" s="77">
        <v>299</v>
      </c>
      <c r="L375" s="77">
        <v>8</v>
      </c>
      <c r="M375" s="77">
        <v>57</v>
      </c>
      <c r="N375" s="77">
        <v>1</v>
      </c>
      <c r="O375" s="77">
        <v>7</v>
      </c>
      <c r="P375" s="77">
        <v>0</v>
      </c>
      <c r="Q375" s="77">
        <v>0</v>
      </c>
      <c r="R375" s="77">
        <v>3</v>
      </c>
      <c r="S375" s="77">
        <v>111</v>
      </c>
      <c r="T375" s="77">
        <v>2</v>
      </c>
      <c r="U375" s="77">
        <v>106</v>
      </c>
      <c r="V375" s="77">
        <v>2</v>
      </c>
      <c r="W375" s="77">
        <v>9</v>
      </c>
    </row>
    <row r="376" spans="1:23" ht="72.75" customHeight="1">
      <c r="A376" s="229" t="s">
        <v>323</v>
      </c>
      <c r="B376" s="230" t="s">
        <v>334</v>
      </c>
      <c r="C376" s="229" t="s">
        <v>38</v>
      </c>
      <c r="D376" s="134">
        <v>153</v>
      </c>
      <c r="E376" s="134">
        <v>117</v>
      </c>
      <c r="F376" s="134">
        <v>557</v>
      </c>
      <c r="G376" s="134">
        <v>437</v>
      </c>
      <c r="H376" s="134">
        <v>154</v>
      </c>
      <c r="I376" s="134">
        <v>47</v>
      </c>
      <c r="J376" s="134">
        <v>292</v>
      </c>
      <c r="K376" s="134">
        <v>132</v>
      </c>
      <c r="L376" s="134">
        <v>59</v>
      </c>
      <c r="M376" s="136">
        <v>39</v>
      </c>
      <c r="N376" s="136">
        <v>6</v>
      </c>
      <c r="O376" s="136">
        <v>3</v>
      </c>
      <c r="P376" s="136">
        <v>0</v>
      </c>
      <c r="Q376" s="136">
        <v>0</v>
      </c>
      <c r="R376" s="136">
        <v>4</v>
      </c>
      <c r="S376" s="136">
        <v>4</v>
      </c>
      <c r="T376" s="136">
        <v>64</v>
      </c>
      <c r="U376" s="136">
        <v>58</v>
      </c>
      <c r="V376" s="136">
        <v>15</v>
      </c>
      <c r="W376" s="136">
        <v>6</v>
      </c>
    </row>
    <row r="377" spans="1:23" ht="72.75" customHeight="1">
      <c r="A377" s="229" t="s">
        <v>323</v>
      </c>
      <c r="B377" s="230" t="s">
        <v>334</v>
      </c>
      <c r="C377" s="229" t="s">
        <v>156</v>
      </c>
      <c r="D377" s="278">
        <v>53</v>
      </c>
      <c r="E377" s="278">
        <v>57</v>
      </c>
      <c r="F377" s="278">
        <v>215</v>
      </c>
      <c r="G377" s="278">
        <v>176</v>
      </c>
      <c r="H377" s="278">
        <v>158</v>
      </c>
      <c r="I377" s="278">
        <v>95</v>
      </c>
      <c r="J377" s="278">
        <v>526</v>
      </c>
      <c r="K377" s="278">
        <v>396</v>
      </c>
      <c r="L377" s="278">
        <v>14</v>
      </c>
      <c r="M377" s="278">
        <v>17</v>
      </c>
      <c r="N377" s="278">
        <v>2</v>
      </c>
      <c r="O377" s="278">
        <v>0</v>
      </c>
      <c r="P377" s="278">
        <v>0</v>
      </c>
      <c r="Q377" s="278">
        <v>0</v>
      </c>
      <c r="R377" s="278">
        <v>7</v>
      </c>
      <c r="S377" s="278">
        <v>18</v>
      </c>
      <c r="T377" s="278">
        <v>17</v>
      </c>
      <c r="U377" s="278">
        <v>26</v>
      </c>
      <c r="V377" s="278">
        <v>18</v>
      </c>
      <c r="W377" s="278">
        <v>19</v>
      </c>
    </row>
    <row r="378" spans="1:23" ht="72.75" customHeight="1">
      <c r="A378" s="229" t="s">
        <v>323</v>
      </c>
      <c r="B378" s="230" t="s">
        <v>334</v>
      </c>
      <c r="C378" s="229" t="s">
        <v>335</v>
      </c>
      <c r="D378" s="134">
        <v>0</v>
      </c>
      <c r="E378" s="134">
        <v>0</v>
      </c>
      <c r="F378" s="134">
        <v>0</v>
      </c>
      <c r="G378" s="134">
        <v>0</v>
      </c>
      <c r="H378" s="134">
        <v>89</v>
      </c>
      <c r="I378" s="134">
        <v>55</v>
      </c>
      <c r="J378" s="134">
        <v>173</v>
      </c>
      <c r="K378" s="134">
        <v>378</v>
      </c>
      <c r="L378" s="134">
        <v>0</v>
      </c>
      <c r="M378" s="136">
        <v>1</v>
      </c>
      <c r="N378" s="136">
        <v>0</v>
      </c>
      <c r="O378" s="136">
        <v>0</v>
      </c>
      <c r="P378" s="136">
        <v>0</v>
      </c>
      <c r="Q378" s="136">
        <v>0</v>
      </c>
      <c r="R378" s="134">
        <v>0</v>
      </c>
      <c r="S378" s="134">
        <v>0</v>
      </c>
      <c r="T378" s="134">
        <v>22</v>
      </c>
      <c r="U378" s="134">
        <v>17</v>
      </c>
      <c r="V378" s="134">
        <v>24</v>
      </c>
      <c r="W378" s="134">
        <v>28</v>
      </c>
    </row>
    <row r="379" spans="1:23" ht="72.75" customHeight="1">
      <c r="A379" s="229" t="s">
        <v>323</v>
      </c>
      <c r="B379" s="230" t="s">
        <v>334</v>
      </c>
      <c r="C379" s="229" t="s">
        <v>336</v>
      </c>
      <c r="D379" s="134">
        <v>0</v>
      </c>
      <c r="E379" s="134">
        <v>0</v>
      </c>
      <c r="F379" s="134">
        <v>0</v>
      </c>
      <c r="G379" s="134">
        <v>0</v>
      </c>
      <c r="H379" s="134">
        <v>53</v>
      </c>
      <c r="I379" s="134">
        <v>26</v>
      </c>
      <c r="J379" s="134">
        <v>64</v>
      </c>
      <c r="K379" s="134">
        <v>78</v>
      </c>
      <c r="L379" s="134">
        <v>0</v>
      </c>
      <c r="M379" s="136">
        <v>0</v>
      </c>
      <c r="N379" s="136">
        <v>0</v>
      </c>
      <c r="O379" s="136">
        <v>0</v>
      </c>
      <c r="P379" s="136">
        <v>0</v>
      </c>
      <c r="Q379" s="136">
        <v>0</v>
      </c>
      <c r="R379" s="134">
        <v>0</v>
      </c>
      <c r="S379" s="134">
        <v>0</v>
      </c>
      <c r="T379" s="134">
        <v>6</v>
      </c>
      <c r="U379" s="134">
        <v>6</v>
      </c>
      <c r="V379" s="134">
        <v>5</v>
      </c>
      <c r="W379" s="134">
        <v>5</v>
      </c>
    </row>
    <row r="380" spans="1:23" ht="72.75" customHeight="1">
      <c r="A380" s="229" t="s">
        <v>323</v>
      </c>
      <c r="B380" s="230" t="s">
        <v>337</v>
      </c>
      <c r="C380" s="229" t="s">
        <v>338</v>
      </c>
      <c r="D380" s="134">
        <v>12</v>
      </c>
      <c r="E380" s="134">
        <v>37</v>
      </c>
      <c r="F380" s="134">
        <v>85</v>
      </c>
      <c r="G380" s="134">
        <v>231</v>
      </c>
      <c r="H380" s="134">
        <v>27</v>
      </c>
      <c r="I380" s="134">
        <v>33</v>
      </c>
      <c r="J380" s="134">
        <v>133</v>
      </c>
      <c r="K380" s="134">
        <v>368</v>
      </c>
      <c r="L380" s="134">
        <v>11</v>
      </c>
      <c r="M380" s="136">
        <v>39</v>
      </c>
      <c r="N380" s="136">
        <v>1</v>
      </c>
      <c r="O380" s="136">
        <v>5</v>
      </c>
      <c r="P380" s="136">
        <v>0</v>
      </c>
      <c r="Q380" s="136">
        <v>0</v>
      </c>
      <c r="R380" s="136">
        <v>3</v>
      </c>
      <c r="S380" s="136">
        <v>2</v>
      </c>
      <c r="T380" s="136">
        <v>6</v>
      </c>
      <c r="U380" s="136">
        <v>7</v>
      </c>
      <c r="V380" s="136">
        <v>14</v>
      </c>
      <c r="W380" s="136">
        <v>23</v>
      </c>
    </row>
    <row r="381" spans="1:23" ht="72.75" customHeight="1">
      <c r="A381" s="229" t="s">
        <v>323</v>
      </c>
      <c r="B381" s="230" t="s">
        <v>141</v>
      </c>
      <c r="C381" s="229" t="s">
        <v>339</v>
      </c>
      <c r="D381" s="134">
        <v>65</v>
      </c>
      <c r="E381" s="134">
        <v>38</v>
      </c>
      <c r="F381" s="134">
        <v>303</v>
      </c>
      <c r="G381" s="134">
        <v>237</v>
      </c>
      <c r="H381" s="134">
        <v>115</v>
      </c>
      <c r="I381" s="134">
        <v>103</v>
      </c>
      <c r="J381" s="134">
        <v>421</v>
      </c>
      <c r="K381" s="134">
        <v>210</v>
      </c>
      <c r="L381" s="134">
        <v>10</v>
      </c>
      <c r="M381" s="136">
        <v>9</v>
      </c>
      <c r="N381" s="136">
        <v>4</v>
      </c>
      <c r="O381" s="136">
        <v>0</v>
      </c>
      <c r="P381" s="136">
        <v>0</v>
      </c>
      <c r="Q381" s="136">
        <v>0</v>
      </c>
      <c r="R381" s="136">
        <v>2</v>
      </c>
      <c r="S381" s="136">
        <v>2</v>
      </c>
      <c r="T381" s="136">
        <v>18</v>
      </c>
      <c r="U381" s="136">
        <v>26</v>
      </c>
      <c r="V381" s="136">
        <v>18</v>
      </c>
      <c r="W381" s="136">
        <v>16</v>
      </c>
    </row>
    <row r="382" spans="1:23" ht="72.75" customHeight="1">
      <c r="A382" s="229" t="s">
        <v>323</v>
      </c>
      <c r="B382" s="230" t="s">
        <v>141</v>
      </c>
      <c r="C382" s="229" t="s">
        <v>340</v>
      </c>
      <c r="D382" s="134">
        <v>90</v>
      </c>
      <c r="E382" s="134">
        <v>20</v>
      </c>
      <c r="F382" s="134">
        <v>743</v>
      </c>
      <c r="G382" s="134">
        <v>107</v>
      </c>
      <c r="H382" s="134">
        <v>344</v>
      </c>
      <c r="I382" s="134">
        <v>58</v>
      </c>
      <c r="J382" s="134">
        <v>471</v>
      </c>
      <c r="K382" s="134">
        <v>128</v>
      </c>
      <c r="L382" s="134">
        <v>35</v>
      </c>
      <c r="M382" s="136">
        <v>7</v>
      </c>
      <c r="N382" s="136">
        <v>13</v>
      </c>
      <c r="O382" s="136">
        <v>5</v>
      </c>
      <c r="P382" s="136">
        <v>0</v>
      </c>
      <c r="Q382" s="136">
        <v>0</v>
      </c>
      <c r="R382" s="134">
        <v>2</v>
      </c>
      <c r="S382" s="134">
        <v>1</v>
      </c>
      <c r="T382" s="134">
        <v>59</v>
      </c>
      <c r="U382" s="134">
        <v>17</v>
      </c>
      <c r="V382" s="134">
        <v>33</v>
      </c>
      <c r="W382" s="134">
        <v>4</v>
      </c>
    </row>
    <row r="383" spans="1:23" ht="72.75" customHeight="1">
      <c r="A383" s="229" t="s">
        <v>323</v>
      </c>
      <c r="B383" s="230" t="s">
        <v>141</v>
      </c>
      <c r="C383" s="229" t="s">
        <v>51</v>
      </c>
      <c r="D383" s="136">
        <v>11</v>
      </c>
      <c r="E383" s="136">
        <v>43</v>
      </c>
      <c r="F383" s="136">
        <v>13</v>
      </c>
      <c r="G383" s="136">
        <v>28</v>
      </c>
      <c r="H383" s="136">
        <v>19</v>
      </c>
      <c r="I383" s="136">
        <v>32</v>
      </c>
      <c r="J383" s="136">
        <v>0</v>
      </c>
      <c r="K383" s="136">
        <v>0</v>
      </c>
      <c r="L383" s="136">
        <v>5</v>
      </c>
      <c r="M383" s="136">
        <v>16</v>
      </c>
      <c r="N383" s="136">
        <v>0</v>
      </c>
      <c r="O383" s="136">
        <v>0</v>
      </c>
      <c r="P383" s="136">
        <v>0</v>
      </c>
      <c r="Q383" s="136">
        <v>0</v>
      </c>
      <c r="R383" s="136">
        <v>1</v>
      </c>
      <c r="S383" s="136">
        <v>3</v>
      </c>
      <c r="T383" s="136">
        <v>6</v>
      </c>
      <c r="U383" s="136">
        <v>15</v>
      </c>
      <c r="V383" s="136">
        <v>0</v>
      </c>
      <c r="W383" s="136">
        <v>0</v>
      </c>
    </row>
    <row r="384" spans="1:23" ht="72.75" customHeight="1">
      <c r="A384" s="229" t="s">
        <v>323</v>
      </c>
      <c r="B384" s="230" t="s">
        <v>341</v>
      </c>
      <c r="C384" s="271" t="s">
        <v>341</v>
      </c>
      <c r="D384" s="134">
        <v>217</v>
      </c>
      <c r="E384" s="134">
        <v>50</v>
      </c>
      <c r="F384" s="134">
        <v>617</v>
      </c>
      <c r="G384" s="134">
        <v>145</v>
      </c>
      <c r="H384" s="134">
        <v>202</v>
      </c>
      <c r="I384" s="134">
        <v>34</v>
      </c>
      <c r="J384" s="134">
        <v>893</v>
      </c>
      <c r="K384" s="134">
        <v>333</v>
      </c>
      <c r="L384" s="134">
        <v>64</v>
      </c>
      <c r="M384" s="136">
        <v>25</v>
      </c>
      <c r="N384" s="136">
        <v>21</v>
      </c>
      <c r="O384" s="136">
        <v>3</v>
      </c>
      <c r="P384" s="136">
        <v>0</v>
      </c>
      <c r="Q384" s="136">
        <v>1</v>
      </c>
      <c r="R384" s="134">
        <v>21</v>
      </c>
      <c r="S384" s="134">
        <v>14</v>
      </c>
      <c r="T384" s="134">
        <v>2</v>
      </c>
      <c r="U384" s="134">
        <v>0</v>
      </c>
      <c r="V384" s="134">
        <v>28</v>
      </c>
      <c r="W384" s="134">
        <v>11</v>
      </c>
    </row>
    <row r="385" spans="1:23" ht="72.75" customHeight="1">
      <c r="A385" s="229" t="s">
        <v>323</v>
      </c>
      <c r="B385" s="230" t="s">
        <v>58</v>
      </c>
      <c r="C385" s="229" t="s">
        <v>342</v>
      </c>
      <c r="D385" s="136">
        <v>19</v>
      </c>
      <c r="E385" s="136">
        <v>19</v>
      </c>
      <c r="F385" s="136">
        <v>146</v>
      </c>
      <c r="G385" s="136">
        <v>230</v>
      </c>
      <c r="H385" s="136">
        <v>0</v>
      </c>
      <c r="I385" s="136">
        <v>0</v>
      </c>
      <c r="J385" s="136">
        <v>0</v>
      </c>
      <c r="K385" s="136">
        <v>0</v>
      </c>
      <c r="L385" s="136">
        <v>10</v>
      </c>
      <c r="M385" s="136">
        <v>10</v>
      </c>
      <c r="N385" s="136">
        <v>6</v>
      </c>
      <c r="O385" s="136">
        <v>2</v>
      </c>
      <c r="P385" s="136">
        <v>0</v>
      </c>
      <c r="Q385" s="136">
        <v>0</v>
      </c>
      <c r="R385" s="136">
        <v>17</v>
      </c>
      <c r="S385" s="136">
        <v>19</v>
      </c>
      <c r="T385" s="136">
        <v>0</v>
      </c>
      <c r="U385" s="136">
        <v>0</v>
      </c>
      <c r="V385" s="136">
        <v>0</v>
      </c>
      <c r="W385" s="136">
        <v>0</v>
      </c>
    </row>
    <row r="386" spans="1:23" ht="72.75" customHeight="1">
      <c r="A386" s="229" t="s">
        <v>323</v>
      </c>
      <c r="B386" s="230" t="s">
        <v>58</v>
      </c>
      <c r="C386" s="229" t="s">
        <v>343</v>
      </c>
      <c r="D386" s="136">
        <v>0</v>
      </c>
      <c r="E386" s="136">
        <v>0</v>
      </c>
      <c r="F386" s="136">
        <v>1</v>
      </c>
      <c r="G386" s="136">
        <v>1</v>
      </c>
      <c r="H386" s="136">
        <v>68</v>
      </c>
      <c r="I386" s="136">
        <v>70</v>
      </c>
      <c r="J386" s="136">
        <v>409</v>
      </c>
      <c r="K386" s="136">
        <v>360</v>
      </c>
      <c r="L386" s="136">
        <v>2</v>
      </c>
      <c r="M386" s="136">
        <v>2</v>
      </c>
      <c r="N386" s="136">
        <v>0</v>
      </c>
      <c r="O386" s="136">
        <v>0</v>
      </c>
      <c r="P386" s="136">
        <v>0</v>
      </c>
      <c r="Q386" s="136">
        <v>0</v>
      </c>
      <c r="R386" s="136">
        <v>0</v>
      </c>
      <c r="S386" s="136">
        <v>0</v>
      </c>
      <c r="T386" s="136">
        <v>5</v>
      </c>
      <c r="U386" s="136">
        <v>8</v>
      </c>
      <c r="V386" s="136">
        <v>15</v>
      </c>
      <c r="W386" s="136">
        <v>14</v>
      </c>
    </row>
    <row r="387" spans="1:23" ht="72.75" customHeight="1">
      <c r="A387" s="229" t="s">
        <v>323</v>
      </c>
      <c r="B387" s="230" t="s">
        <v>308</v>
      </c>
      <c r="C387" s="229" t="s">
        <v>344</v>
      </c>
      <c r="D387" s="134">
        <v>5</v>
      </c>
      <c r="E387" s="134">
        <v>95</v>
      </c>
      <c r="F387" s="134">
        <v>16</v>
      </c>
      <c r="G387" s="134">
        <v>346</v>
      </c>
      <c r="H387" s="134">
        <v>0</v>
      </c>
      <c r="I387" s="134">
        <v>0</v>
      </c>
      <c r="J387" s="134">
        <v>0</v>
      </c>
      <c r="K387" s="134">
        <v>0</v>
      </c>
      <c r="L387" s="134">
        <v>7</v>
      </c>
      <c r="M387" s="134">
        <v>59</v>
      </c>
      <c r="N387" s="134">
        <v>0</v>
      </c>
      <c r="O387" s="134">
        <v>0</v>
      </c>
      <c r="P387" s="134">
        <v>0</v>
      </c>
      <c r="Q387" s="134">
        <v>0</v>
      </c>
      <c r="R387" s="134">
        <v>0</v>
      </c>
      <c r="S387" s="134">
        <v>4</v>
      </c>
      <c r="T387" s="134">
        <v>5</v>
      </c>
      <c r="U387" s="134">
        <v>47</v>
      </c>
      <c r="V387" s="134">
        <v>0</v>
      </c>
      <c r="W387" s="134">
        <v>0</v>
      </c>
    </row>
    <row r="388" spans="1:23" ht="72.75" customHeight="1">
      <c r="A388" s="229" t="s">
        <v>323</v>
      </c>
      <c r="B388" s="230" t="s">
        <v>308</v>
      </c>
      <c r="C388" s="229" t="s">
        <v>345</v>
      </c>
      <c r="D388" s="134">
        <v>0</v>
      </c>
      <c r="E388" s="134">
        <v>0</v>
      </c>
      <c r="F388" s="134">
        <v>0</v>
      </c>
      <c r="G388" s="134">
        <v>0</v>
      </c>
      <c r="H388" s="134">
        <v>5</v>
      </c>
      <c r="I388" s="134">
        <v>38</v>
      </c>
      <c r="J388" s="134">
        <v>8</v>
      </c>
      <c r="K388" s="134">
        <v>74</v>
      </c>
      <c r="L388" s="134">
        <v>0</v>
      </c>
      <c r="M388" s="136">
        <v>0</v>
      </c>
      <c r="N388" s="136">
        <v>0</v>
      </c>
      <c r="O388" s="136">
        <v>0</v>
      </c>
      <c r="P388" s="136">
        <v>0</v>
      </c>
      <c r="Q388" s="136">
        <v>0</v>
      </c>
      <c r="R388" s="134">
        <v>0</v>
      </c>
      <c r="S388" s="134">
        <v>0</v>
      </c>
      <c r="T388" s="134">
        <v>1</v>
      </c>
      <c r="U388" s="134">
        <v>22</v>
      </c>
      <c r="V388" s="134">
        <v>1</v>
      </c>
      <c r="W388" s="134">
        <v>12</v>
      </c>
    </row>
    <row r="389" spans="1:23" ht="72.75" customHeight="1">
      <c r="A389" s="229" t="s">
        <v>323</v>
      </c>
      <c r="B389" s="230" t="s">
        <v>308</v>
      </c>
      <c r="C389" s="229" t="s">
        <v>48</v>
      </c>
      <c r="D389" s="136">
        <v>16</v>
      </c>
      <c r="E389" s="136">
        <v>124</v>
      </c>
      <c r="F389" s="136">
        <v>31</v>
      </c>
      <c r="G389" s="136">
        <v>233</v>
      </c>
      <c r="H389" s="136">
        <v>31</v>
      </c>
      <c r="I389" s="136">
        <v>85</v>
      </c>
      <c r="J389" s="136">
        <v>2</v>
      </c>
      <c r="K389" s="136">
        <v>7</v>
      </c>
      <c r="L389" s="136">
        <v>5</v>
      </c>
      <c r="M389" s="136">
        <v>31</v>
      </c>
      <c r="N389" s="136">
        <v>0</v>
      </c>
      <c r="O389" s="136">
        <v>3</v>
      </c>
      <c r="P389" s="136">
        <v>0</v>
      </c>
      <c r="Q389" s="136">
        <v>0</v>
      </c>
      <c r="R389" s="136">
        <v>9</v>
      </c>
      <c r="S389" s="136">
        <v>68</v>
      </c>
      <c r="T389" s="136">
        <v>14</v>
      </c>
      <c r="U389" s="136">
        <v>121</v>
      </c>
      <c r="V389" s="136">
        <v>1</v>
      </c>
      <c r="W389" s="136">
        <v>7</v>
      </c>
    </row>
    <row r="390" spans="1:23" ht="72.75" customHeight="1">
      <c r="A390" s="229" t="s">
        <v>323</v>
      </c>
      <c r="B390" s="230" t="s">
        <v>70</v>
      </c>
      <c r="C390" s="229" t="s">
        <v>898</v>
      </c>
      <c r="D390" s="134">
        <v>99</v>
      </c>
      <c r="E390" s="136">
        <v>58</v>
      </c>
      <c r="F390" s="136">
        <v>387</v>
      </c>
      <c r="G390" s="136">
        <v>228</v>
      </c>
      <c r="H390" s="136">
        <v>2</v>
      </c>
      <c r="I390" s="136">
        <v>1</v>
      </c>
      <c r="J390" s="136">
        <v>0</v>
      </c>
      <c r="K390" s="136">
        <v>0</v>
      </c>
      <c r="L390" s="136">
        <v>8</v>
      </c>
      <c r="M390" s="136">
        <v>3</v>
      </c>
      <c r="N390" s="136">
        <v>15</v>
      </c>
      <c r="O390" s="136">
        <v>9</v>
      </c>
      <c r="P390" s="136">
        <v>0</v>
      </c>
      <c r="Q390" s="136">
        <v>0</v>
      </c>
      <c r="R390" s="136">
        <v>1</v>
      </c>
      <c r="S390" s="136">
        <v>1</v>
      </c>
      <c r="T390" s="136">
        <v>0</v>
      </c>
      <c r="U390" s="136">
        <v>0</v>
      </c>
      <c r="V390" s="136">
        <v>0</v>
      </c>
      <c r="W390" s="136">
        <v>0</v>
      </c>
    </row>
    <row r="391" spans="1:23" ht="72.75" customHeight="1">
      <c r="A391" s="229" t="s">
        <v>323</v>
      </c>
      <c r="B391" s="230" t="s">
        <v>70</v>
      </c>
      <c r="C391" s="229" t="s">
        <v>899</v>
      </c>
      <c r="D391" s="134">
        <v>0</v>
      </c>
      <c r="E391" s="136">
        <v>0</v>
      </c>
      <c r="F391" s="136">
        <v>7</v>
      </c>
      <c r="G391" s="136">
        <v>5</v>
      </c>
      <c r="H391" s="136">
        <f>34+57</f>
        <v>91</v>
      </c>
      <c r="I391" s="136">
        <f>27+41</f>
        <v>68</v>
      </c>
      <c r="J391" s="136">
        <f>26+250</f>
        <v>276</v>
      </c>
      <c r="K391" s="136">
        <f>24+310</f>
        <v>334</v>
      </c>
      <c r="L391" s="136">
        <v>2</v>
      </c>
      <c r="M391" s="136">
        <v>5</v>
      </c>
      <c r="N391" s="136">
        <v>2</v>
      </c>
      <c r="O391" s="136">
        <v>0</v>
      </c>
      <c r="P391" s="136">
        <v>0</v>
      </c>
      <c r="Q391" s="136">
        <v>0</v>
      </c>
      <c r="R391" s="136">
        <v>0</v>
      </c>
      <c r="S391" s="136">
        <v>0</v>
      </c>
      <c r="T391" s="136">
        <f>2+3</f>
        <v>5</v>
      </c>
      <c r="U391" s="136">
        <f>1+3</f>
        <v>4</v>
      </c>
      <c r="V391" s="136">
        <f>3+13</f>
        <v>16</v>
      </c>
      <c r="W391" s="136">
        <f>1+18</f>
        <v>19</v>
      </c>
    </row>
    <row r="392" spans="1:23" ht="72.75" customHeight="1">
      <c r="A392" s="229" t="s">
        <v>448</v>
      </c>
      <c r="B392" s="230" t="s">
        <v>332</v>
      </c>
      <c r="C392" s="229" t="s">
        <v>147</v>
      </c>
      <c r="D392" s="134">
        <v>39</v>
      </c>
      <c r="E392" s="134">
        <v>167</v>
      </c>
      <c r="F392" s="134">
        <v>140</v>
      </c>
      <c r="G392" s="134">
        <v>649</v>
      </c>
      <c r="H392" s="134">
        <v>25</v>
      </c>
      <c r="I392" s="134">
        <v>92</v>
      </c>
      <c r="J392" s="134">
        <v>164</v>
      </c>
      <c r="K392" s="134">
        <v>273</v>
      </c>
      <c r="L392" s="134">
        <v>8</v>
      </c>
      <c r="M392" s="134">
        <v>18</v>
      </c>
      <c r="N392" s="134">
        <v>4</v>
      </c>
      <c r="O392" s="134">
        <v>7</v>
      </c>
      <c r="P392" s="134">
        <v>0</v>
      </c>
      <c r="Q392" s="134">
        <v>0</v>
      </c>
      <c r="R392" s="134">
        <v>9</v>
      </c>
      <c r="S392" s="134">
        <v>81</v>
      </c>
      <c r="T392" s="134">
        <v>10</v>
      </c>
      <c r="U392" s="134">
        <v>49</v>
      </c>
      <c r="V392" s="134">
        <v>3</v>
      </c>
      <c r="W392" s="134">
        <v>4</v>
      </c>
    </row>
    <row r="393" spans="1:23" ht="72.75" customHeight="1">
      <c r="A393" s="229" t="s">
        <v>448</v>
      </c>
      <c r="B393" s="230" t="s">
        <v>332</v>
      </c>
      <c r="C393" s="229" t="s">
        <v>449</v>
      </c>
      <c r="D393" s="134">
        <v>10</v>
      </c>
      <c r="E393" s="134">
        <v>203</v>
      </c>
      <c r="F393" s="134">
        <v>29</v>
      </c>
      <c r="G393" s="134">
        <v>761</v>
      </c>
      <c r="H393" s="134">
        <v>10</v>
      </c>
      <c r="I393" s="134">
        <v>225</v>
      </c>
      <c r="J393" s="134">
        <v>49</v>
      </c>
      <c r="K393" s="134">
        <v>354</v>
      </c>
      <c r="L393" s="134">
        <v>3</v>
      </c>
      <c r="M393" s="134">
        <v>19</v>
      </c>
      <c r="N393" s="134">
        <v>2</v>
      </c>
      <c r="O393" s="134">
        <v>10</v>
      </c>
      <c r="P393" s="134">
        <v>0</v>
      </c>
      <c r="Q393" s="134">
        <v>0</v>
      </c>
      <c r="R393" s="134">
        <v>1</v>
      </c>
      <c r="S393" s="134">
        <v>27</v>
      </c>
      <c r="T393" s="134">
        <v>1</v>
      </c>
      <c r="U393" s="134">
        <v>93</v>
      </c>
      <c r="V393" s="134">
        <v>0</v>
      </c>
      <c r="W393" s="134">
        <v>26</v>
      </c>
    </row>
    <row r="394" spans="1:23" ht="72.75" customHeight="1">
      <c r="A394" s="255" t="s">
        <v>448</v>
      </c>
      <c r="B394" s="230" t="s">
        <v>450</v>
      </c>
      <c r="C394" s="229" t="s">
        <v>30</v>
      </c>
      <c r="D394" s="134">
        <v>42</v>
      </c>
      <c r="E394" s="134">
        <v>83</v>
      </c>
      <c r="F394" s="134">
        <v>123</v>
      </c>
      <c r="G394" s="134">
        <v>301</v>
      </c>
      <c r="H394" s="134">
        <v>49</v>
      </c>
      <c r="I394" s="134">
        <v>87</v>
      </c>
      <c r="J394" s="134">
        <v>63</v>
      </c>
      <c r="K394" s="134">
        <v>94</v>
      </c>
      <c r="L394" s="134">
        <v>23</v>
      </c>
      <c r="M394" s="134">
        <v>34</v>
      </c>
      <c r="N394" s="134">
        <v>7</v>
      </c>
      <c r="O394" s="134">
        <v>7</v>
      </c>
      <c r="P394" s="134">
        <v>0</v>
      </c>
      <c r="Q394" s="134">
        <v>0</v>
      </c>
      <c r="R394" s="134">
        <v>0</v>
      </c>
      <c r="S394" s="134">
        <v>30</v>
      </c>
      <c r="T394" s="134">
        <v>19</v>
      </c>
      <c r="U394" s="134">
        <v>36</v>
      </c>
      <c r="V394" s="134">
        <v>5</v>
      </c>
      <c r="W394" s="134">
        <v>6</v>
      </c>
    </row>
    <row r="395" spans="1:23" ht="72.75" customHeight="1">
      <c r="A395" s="255" t="s">
        <v>448</v>
      </c>
      <c r="B395" s="230" t="s">
        <v>450</v>
      </c>
      <c r="C395" s="229" t="s">
        <v>451</v>
      </c>
      <c r="D395" s="134">
        <v>21</v>
      </c>
      <c r="E395" s="134">
        <v>26</v>
      </c>
      <c r="F395" s="134">
        <v>154</v>
      </c>
      <c r="G395" s="134">
        <v>206</v>
      </c>
      <c r="H395" s="134">
        <v>101</v>
      </c>
      <c r="I395" s="134">
        <v>108</v>
      </c>
      <c r="J395" s="134">
        <v>297</v>
      </c>
      <c r="K395" s="134">
        <v>248</v>
      </c>
      <c r="L395" s="134">
        <v>12</v>
      </c>
      <c r="M395" s="134">
        <v>5</v>
      </c>
      <c r="N395" s="134">
        <v>6</v>
      </c>
      <c r="O395" s="134">
        <v>1</v>
      </c>
      <c r="P395" s="134">
        <v>0</v>
      </c>
      <c r="Q395" s="134">
        <v>0</v>
      </c>
      <c r="R395" s="134">
        <v>0</v>
      </c>
      <c r="S395" s="134">
        <v>5</v>
      </c>
      <c r="T395" s="134">
        <v>16</v>
      </c>
      <c r="U395" s="134">
        <v>27</v>
      </c>
      <c r="V395" s="134">
        <v>20</v>
      </c>
      <c r="W395" s="134">
        <v>18</v>
      </c>
    </row>
    <row r="396" spans="1:23" ht="72.75" customHeight="1">
      <c r="A396" s="229" t="s">
        <v>448</v>
      </c>
      <c r="B396" s="230" t="s">
        <v>450</v>
      </c>
      <c r="C396" s="229" t="s">
        <v>452</v>
      </c>
      <c r="D396" s="134">
        <v>26</v>
      </c>
      <c r="E396" s="134">
        <v>26</v>
      </c>
      <c r="F396" s="134">
        <v>165</v>
      </c>
      <c r="G396" s="134">
        <v>186</v>
      </c>
      <c r="H396" s="134">
        <v>103</v>
      </c>
      <c r="I396" s="134">
        <v>100</v>
      </c>
      <c r="J396" s="134">
        <v>276</v>
      </c>
      <c r="K396" s="134">
        <v>230</v>
      </c>
      <c r="L396" s="134">
        <v>13</v>
      </c>
      <c r="M396" s="134">
        <v>9</v>
      </c>
      <c r="N396" s="134">
        <v>4</v>
      </c>
      <c r="O396" s="134">
        <v>4</v>
      </c>
      <c r="P396" s="134">
        <v>0</v>
      </c>
      <c r="Q396" s="134">
        <v>0</v>
      </c>
      <c r="R396" s="134">
        <v>0</v>
      </c>
      <c r="S396" s="134">
        <v>0</v>
      </c>
      <c r="T396" s="134">
        <v>18</v>
      </c>
      <c r="U396" s="134">
        <v>20</v>
      </c>
      <c r="V396" s="134">
        <v>16</v>
      </c>
      <c r="W396" s="134">
        <v>21</v>
      </c>
    </row>
    <row r="397" spans="1:23" ht="72.75" customHeight="1">
      <c r="A397" s="229" t="s">
        <v>448</v>
      </c>
      <c r="B397" s="230" t="s">
        <v>450</v>
      </c>
      <c r="C397" s="229" t="s">
        <v>453</v>
      </c>
      <c r="D397" s="134">
        <v>9</v>
      </c>
      <c r="E397" s="134">
        <v>11</v>
      </c>
      <c r="F397" s="134">
        <v>123</v>
      </c>
      <c r="G397" s="134">
        <v>100</v>
      </c>
      <c r="H397" s="134">
        <v>71</v>
      </c>
      <c r="I397" s="134">
        <v>85</v>
      </c>
      <c r="J397" s="134">
        <v>234</v>
      </c>
      <c r="K397" s="134">
        <v>203</v>
      </c>
      <c r="L397" s="134">
        <v>9</v>
      </c>
      <c r="M397" s="134">
        <v>6</v>
      </c>
      <c r="N397" s="134">
        <v>7</v>
      </c>
      <c r="O397" s="134">
        <v>1</v>
      </c>
      <c r="P397" s="134">
        <v>0</v>
      </c>
      <c r="Q397" s="134">
        <v>0</v>
      </c>
      <c r="R397" s="134">
        <v>0</v>
      </c>
      <c r="S397" s="134">
        <v>3</v>
      </c>
      <c r="T397" s="134">
        <v>6</v>
      </c>
      <c r="U397" s="134">
        <v>23</v>
      </c>
      <c r="V397" s="134">
        <v>9</v>
      </c>
      <c r="W397" s="134">
        <v>21</v>
      </c>
    </row>
    <row r="398" spans="1:23" ht="72.75" customHeight="1">
      <c r="A398" s="229" t="s">
        <v>448</v>
      </c>
      <c r="B398" s="230" t="s">
        <v>450</v>
      </c>
      <c r="C398" s="229" t="s">
        <v>454</v>
      </c>
      <c r="D398" s="134">
        <v>182</v>
      </c>
      <c r="E398" s="134">
        <v>35</v>
      </c>
      <c r="F398" s="134">
        <v>657</v>
      </c>
      <c r="G398" s="134">
        <v>146</v>
      </c>
      <c r="H398" s="134">
        <v>206</v>
      </c>
      <c r="I398" s="134">
        <v>39</v>
      </c>
      <c r="J398" s="134">
        <v>488</v>
      </c>
      <c r="K398" s="134">
        <v>79</v>
      </c>
      <c r="L398" s="134">
        <v>37</v>
      </c>
      <c r="M398" s="134">
        <v>13</v>
      </c>
      <c r="N398" s="134">
        <v>22</v>
      </c>
      <c r="O398" s="134">
        <v>3</v>
      </c>
      <c r="P398" s="134">
        <v>0</v>
      </c>
      <c r="Q398" s="134">
        <v>0</v>
      </c>
      <c r="R398" s="134">
        <v>17</v>
      </c>
      <c r="S398" s="134">
        <v>8</v>
      </c>
      <c r="T398" s="134">
        <v>34</v>
      </c>
      <c r="U398" s="134">
        <v>10</v>
      </c>
      <c r="V398" s="134">
        <v>30</v>
      </c>
      <c r="W398" s="134">
        <v>13</v>
      </c>
    </row>
    <row r="399" spans="1:23" ht="72.75" customHeight="1">
      <c r="A399" s="229" t="s">
        <v>448</v>
      </c>
      <c r="B399" s="230" t="s">
        <v>450</v>
      </c>
      <c r="C399" s="229" t="s">
        <v>34</v>
      </c>
      <c r="D399" s="134">
        <v>35</v>
      </c>
      <c r="E399" s="134">
        <v>20</v>
      </c>
      <c r="F399" s="134">
        <v>227</v>
      </c>
      <c r="G399" s="134">
        <v>141</v>
      </c>
      <c r="H399" s="134">
        <v>132</v>
      </c>
      <c r="I399" s="134">
        <v>81</v>
      </c>
      <c r="J399" s="134">
        <v>408</v>
      </c>
      <c r="K399" s="134">
        <v>190</v>
      </c>
      <c r="L399" s="134">
        <v>13</v>
      </c>
      <c r="M399" s="134">
        <v>13</v>
      </c>
      <c r="N399" s="134">
        <v>6</v>
      </c>
      <c r="O399" s="134">
        <v>6</v>
      </c>
      <c r="P399" s="134">
        <v>0</v>
      </c>
      <c r="Q399" s="134">
        <v>0</v>
      </c>
      <c r="R399" s="134">
        <v>11</v>
      </c>
      <c r="S399" s="134">
        <v>0</v>
      </c>
      <c r="T399" s="134">
        <v>15</v>
      </c>
      <c r="U399" s="134">
        <v>15</v>
      </c>
      <c r="V399" s="134">
        <v>37</v>
      </c>
      <c r="W399" s="134">
        <v>20</v>
      </c>
    </row>
    <row r="400" spans="1:23" ht="72.75" customHeight="1">
      <c r="A400" s="229" t="s">
        <v>448</v>
      </c>
      <c r="B400" s="230" t="s">
        <v>450</v>
      </c>
      <c r="C400" s="229" t="s">
        <v>35</v>
      </c>
      <c r="D400" s="134">
        <v>38</v>
      </c>
      <c r="E400" s="134">
        <v>77</v>
      </c>
      <c r="F400" s="134">
        <v>149</v>
      </c>
      <c r="G400" s="134">
        <v>292</v>
      </c>
      <c r="H400" s="134">
        <v>29</v>
      </c>
      <c r="I400" s="134">
        <v>60</v>
      </c>
      <c r="J400" s="134">
        <v>90</v>
      </c>
      <c r="K400" s="134">
        <v>107</v>
      </c>
      <c r="L400" s="134">
        <v>17</v>
      </c>
      <c r="M400" s="134">
        <v>30</v>
      </c>
      <c r="N400" s="134">
        <v>1</v>
      </c>
      <c r="O400" s="134">
        <v>14</v>
      </c>
      <c r="P400" s="134">
        <v>0</v>
      </c>
      <c r="Q400" s="134">
        <v>0</v>
      </c>
      <c r="R400" s="134">
        <v>13</v>
      </c>
      <c r="S400" s="134">
        <v>19</v>
      </c>
      <c r="T400" s="134">
        <v>6</v>
      </c>
      <c r="U400" s="134">
        <v>32</v>
      </c>
      <c r="V400" s="134">
        <v>2</v>
      </c>
      <c r="W400" s="134">
        <v>8</v>
      </c>
    </row>
    <row r="401" spans="1:23" ht="72.75" customHeight="1">
      <c r="A401" s="229" t="s">
        <v>448</v>
      </c>
      <c r="B401" s="230" t="s">
        <v>61</v>
      </c>
      <c r="C401" s="229" t="s">
        <v>455</v>
      </c>
      <c r="D401" s="134">
        <v>53</v>
      </c>
      <c r="E401" s="134">
        <v>81</v>
      </c>
      <c r="F401" s="134">
        <v>323</v>
      </c>
      <c r="G401" s="134">
        <v>442</v>
      </c>
      <c r="H401" s="134">
        <v>31</v>
      </c>
      <c r="I401" s="134">
        <v>39</v>
      </c>
      <c r="J401" s="134">
        <v>70</v>
      </c>
      <c r="K401" s="134">
        <v>75</v>
      </c>
      <c r="L401" s="134">
        <v>11</v>
      </c>
      <c r="M401" s="134">
        <v>20</v>
      </c>
      <c r="N401" s="134">
        <v>2</v>
      </c>
      <c r="O401" s="134">
        <v>2</v>
      </c>
      <c r="P401" s="134">
        <v>0</v>
      </c>
      <c r="Q401" s="134">
        <v>0</v>
      </c>
      <c r="R401" s="134">
        <v>0</v>
      </c>
      <c r="S401" s="134">
        <v>55</v>
      </c>
      <c r="T401" s="134">
        <v>8</v>
      </c>
      <c r="U401" s="134">
        <v>10</v>
      </c>
      <c r="V401" s="134">
        <v>4</v>
      </c>
      <c r="W401" s="134">
        <v>6</v>
      </c>
    </row>
    <row r="402" spans="1:23" ht="72.75" customHeight="1">
      <c r="A402" s="229" t="s">
        <v>448</v>
      </c>
      <c r="B402" s="230" t="s">
        <v>456</v>
      </c>
      <c r="C402" s="229" t="s">
        <v>457</v>
      </c>
      <c r="D402" s="134">
        <v>38</v>
      </c>
      <c r="E402" s="134">
        <v>77</v>
      </c>
      <c r="F402" s="134">
        <v>149</v>
      </c>
      <c r="G402" s="134">
        <v>292</v>
      </c>
      <c r="H402" s="134">
        <v>29</v>
      </c>
      <c r="I402" s="134">
        <v>60</v>
      </c>
      <c r="J402" s="134">
        <v>90</v>
      </c>
      <c r="K402" s="134">
        <v>107</v>
      </c>
      <c r="L402" s="134">
        <v>17</v>
      </c>
      <c r="M402" s="134">
        <v>30</v>
      </c>
      <c r="N402" s="134">
        <v>1</v>
      </c>
      <c r="O402" s="134">
        <v>14</v>
      </c>
      <c r="P402" s="134">
        <v>0</v>
      </c>
      <c r="Q402" s="134">
        <v>0</v>
      </c>
      <c r="R402" s="134">
        <v>13</v>
      </c>
      <c r="S402" s="134">
        <v>19</v>
      </c>
      <c r="T402" s="134">
        <v>6</v>
      </c>
      <c r="U402" s="134">
        <v>32</v>
      </c>
      <c r="V402" s="134">
        <v>2</v>
      </c>
      <c r="W402" s="134">
        <v>8</v>
      </c>
    </row>
    <row r="403" spans="1:23" ht="72.75" customHeight="1">
      <c r="A403" s="229" t="s">
        <v>448</v>
      </c>
      <c r="B403" s="230" t="s">
        <v>456</v>
      </c>
      <c r="C403" s="229" t="s">
        <v>38</v>
      </c>
      <c r="D403" s="134">
        <v>81</v>
      </c>
      <c r="E403" s="134">
        <v>58</v>
      </c>
      <c r="F403" s="134">
        <v>442</v>
      </c>
      <c r="G403" s="134">
        <v>398</v>
      </c>
      <c r="H403" s="134">
        <v>214</v>
      </c>
      <c r="I403" s="134">
        <v>151</v>
      </c>
      <c r="J403" s="134">
        <v>523</v>
      </c>
      <c r="K403" s="134">
        <v>287</v>
      </c>
      <c r="L403" s="134">
        <v>32</v>
      </c>
      <c r="M403" s="134">
        <v>18</v>
      </c>
      <c r="N403" s="134">
        <v>7</v>
      </c>
      <c r="O403" s="134">
        <v>4</v>
      </c>
      <c r="P403" s="134">
        <v>0</v>
      </c>
      <c r="Q403" s="134">
        <v>0</v>
      </c>
      <c r="R403" s="134">
        <v>3</v>
      </c>
      <c r="S403" s="134">
        <v>17</v>
      </c>
      <c r="T403" s="134">
        <v>48</v>
      </c>
      <c r="U403" s="134">
        <v>42</v>
      </c>
      <c r="V403" s="134">
        <v>34</v>
      </c>
      <c r="W403" s="134">
        <v>14</v>
      </c>
    </row>
    <row r="404" spans="1:23" ht="72.75" customHeight="1">
      <c r="A404" s="229" t="s">
        <v>448</v>
      </c>
      <c r="B404" s="230" t="s">
        <v>456</v>
      </c>
      <c r="C404" s="229" t="s">
        <v>138</v>
      </c>
      <c r="D404" s="134">
        <v>41</v>
      </c>
      <c r="E404" s="134">
        <v>86</v>
      </c>
      <c r="F404" s="134">
        <v>232</v>
      </c>
      <c r="G404" s="134">
        <v>381</v>
      </c>
      <c r="H404" s="134">
        <v>50</v>
      </c>
      <c r="I404" s="134">
        <v>86</v>
      </c>
      <c r="J404" s="134">
        <v>169</v>
      </c>
      <c r="K404" s="134">
        <v>281</v>
      </c>
      <c r="L404" s="134">
        <v>27</v>
      </c>
      <c r="M404" s="134">
        <v>57</v>
      </c>
      <c r="N404" s="134">
        <v>3</v>
      </c>
      <c r="O404" s="134">
        <v>1</v>
      </c>
      <c r="P404" s="134">
        <v>0</v>
      </c>
      <c r="Q404" s="134">
        <v>0</v>
      </c>
      <c r="R404" s="134">
        <v>20</v>
      </c>
      <c r="S404" s="134">
        <v>23</v>
      </c>
      <c r="T404" s="134">
        <v>18</v>
      </c>
      <c r="U404" s="134">
        <v>30</v>
      </c>
      <c r="V404" s="134">
        <v>7</v>
      </c>
      <c r="W404" s="134">
        <v>11</v>
      </c>
    </row>
    <row r="405" spans="1:23" ht="72.75" customHeight="1">
      <c r="A405" s="229" t="s">
        <v>448</v>
      </c>
      <c r="B405" s="230" t="s">
        <v>456</v>
      </c>
      <c r="C405" s="229" t="s">
        <v>48</v>
      </c>
      <c r="D405" s="134">
        <v>13</v>
      </c>
      <c r="E405" s="134">
        <v>121</v>
      </c>
      <c r="F405" s="134">
        <v>65</v>
      </c>
      <c r="G405" s="134">
        <v>473</v>
      </c>
      <c r="H405" s="134">
        <v>18</v>
      </c>
      <c r="I405" s="134">
        <v>114</v>
      </c>
      <c r="J405" s="134">
        <v>80</v>
      </c>
      <c r="K405" s="134">
        <v>296</v>
      </c>
      <c r="L405" s="134">
        <v>18</v>
      </c>
      <c r="M405" s="134">
        <v>79</v>
      </c>
      <c r="N405" s="134">
        <v>2</v>
      </c>
      <c r="O405" s="134">
        <v>3</v>
      </c>
      <c r="P405" s="134">
        <v>0</v>
      </c>
      <c r="Q405" s="134">
        <v>0</v>
      </c>
      <c r="R405" s="134">
        <v>5</v>
      </c>
      <c r="S405" s="134">
        <v>25</v>
      </c>
      <c r="T405" s="134">
        <v>3</v>
      </c>
      <c r="U405" s="134">
        <v>63</v>
      </c>
      <c r="V405" s="134">
        <v>3</v>
      </c>
      <c r="W405" s="134">
        <v>13</v>
      </c>
    </row>
    <row r="406" spans="1:23" ht="72.75" customHeight="1">
      <c r="A406" s="229" t="s">
        <v>448</v>
      </c>
      <c r="B406" s="230" t="s">
        <v>324</v>
      </c>
      <c r="C406" s="229" t="s">
        <v>44</v>
      </c>
      <c r="D406" s="134">
        <v>25</v>
      </c>
      <c r="E406" s="134">
        <v>45</v>
      </c>
      <c r="F406" s="134">
        <v>162</v>
      </c>
      <c r="G406" s="134">
        <v>259</v>
      </c>
      <c r="H406" s="134">
        <v>69</v>
      </c>
      <c r="I406" s="134">
        <v>156</v>
      </c>
      <c r="J406" s="134">
        <v>232</v>
      </c>
      <c r="K406" s="134">
        <v>419</v>
      </c>
      <c r="L406" s="134">
        <v>12</v>
      </c>
      <c r="M406" s="134">
        <v>22</v>
      </c>
      <c r="N406" s="134">
        <v>3</v>
      </c>
      <c r="O406" s="134">
        <v>4</v>
      </c>
      <c r="P406" s="134">
        <v>0</v>
      </c>
      <c r="Q406" s="134">
        <v>0</v>
      </c>
      <c r="R406" s="134">
        <v>0</v>
      </c>
      <c r="S406" s="134">
        <v>11</v>
      </c>
      <c r="T406" s="134">
        <v>12</v>
      </c>
      <c r="U406" s="134">
        <v>43</v>
      </c>
      <c r="V406" s="134">
        <v>6</v>
      </c>
      <c r="W406" s="134">
        <v>19</v>
      </c>
    </row>
    <row r="407" spans="1:23" ht="72.75" customHeight="1">
      <c r="A407" s="229" t="s">
        <v>448</v>
      </c>
      <c r="B407" s="230" t="s">
        <v>324</v>
      </c>
      <c r="C407" s="229" t="s">
        <v>46</v>
      </c>
      <c r="D407" s="134">
        <v>12</v>
      </c>
      <c r="E407" s="134">
        <v>111</v>
      </c>
      <c r="F407" s="134">
        <v>96</v>
      </c>
      <c r="G407" s="134">
        <v>460</v>
      </c>
      <c r="H407" s="134">
        <v>26</v>
      </c>
      <c r="I407" s="134">
        <v>157</v>
      </c>
      <c r="J407" s="134">
        <v>118</v>
      </c>
      <c r="K407" s="134">
        <v>328</v>
      </c>
      <c r="L407" s="134">
        <v>14</v>
      </c>
      <c r="M407" s="134">
        <v>31</v>
      </c>
      <c r="N407" s="134">
        <v>2</v>
      </c>
      <c r="O407" s="134">
        <v>2</v>
      </c>
      <c r="P407" s="134">
        <v>0</v>
      </c>
      <c r="Q407" s="134">
        <v>0</v>
      </c>
      <c r="R407" s="134">
        <v>2</v>
      </c>
      <c r="S407" s="134">
        <v>17</v>
      </c>
      <c r="T407" s="134">
        <v>6</v>
      </c>
      <c r="U407" s="134">
        <v>50</v>
      </c>
      <c r="V407" s="134">
        <v>3</v>
      </c>
      <c r="W407" s="134">
        <v>20</v>
      </c>
    </row>
    <row r="408" spans="1:23" ht="72.75" customHeight="1">
      <c r="A408" s="229" t="s">
        <v>448</v>
      </c>
      <c r="B408" s="230" t="s">
        <v>324</v>
      </c>
      <c r="C408" s="229" t="s">
        <v>458</v>
      </c>
      <c r="D408" s="134">
        <v>9</v>
      </c>
      <c r="E408" s="134">
        <v>70</v>
      </c>
      <c r="F408" s="134">
        <v>82</v>
      </c>
      <c r="G408" s="134">
        <v>430</v>
      </c>
      <c r="H408" s="134">
        <v>36</v>
      </c>
      <c r="I408" s="134">
        <v>171</v>
      </c>
      <c r="J408" s="134">
        <v>205</v>
      </c>
      <c r="K408" s="134">
        <v>423</v>
      </c>
      <c r="L408" s="134">
        <v>5</v>
      </c>
      <c r="M408" s="134">
        <v>17</v>
      </c>
      <c r="N408" s="134">
        <v>5</v>
      </c>
      <c r="O408" s="134">
        <v>6</v>
      </c>
      <c r="P408" s="134">
        <v>0</v>
      </c>
      <c r="Q408" s="134">
        <v>0</v>
      </c>
      <c r="R408" s="134">
        <v>0</v>
      </c>
      <c r="S408" s="134">
        <v>7</v>
      </c>
      <c r="T408" s="134">
        <v>6</v>
      </c>
      <c r="U408" s="134">
        <v>51</v>
      </c>
      <c r="V408" s="134">
        <v>2</v>
      </c>
      <c r="W408" s="134">
        <v>18</v>
      </c>
    </row>
    <row r="409" spans="1:23" ht="72.75" customHeight="1">
      <c r="A409" s="229" t="s">
        <v>459</v>
      </c>
      <c r="B409" s="230" t="s">
        <v>460</v>
      </c>
      <c r="C409" s="229" t="s">
        <v>682</v>
      </c>
      <c r="D409" s="245">
        <v>195</v>
      </c>
      <c r="E409" s="245">
        <v>203</v>
      </c>
      <c r="F409" s="245">
        <v>763</v>
      </c>
      <c r="G409" s="245">
        <v>695</v>
      </c>
      <c r="H409" s="245">
        <v>173</v>
      </c>
      <c r="I409" s="245">
        <v>64</v>
      </c>
      <c r="J409" s="245">
        <v>841</v>
      </c>
      <c r="K409" s="245">
        <v>572</v>
      </c>
      <c r="L409" s="245">
        <v>26</v>
      </c>
      <c r="M409" s="246">
        <v>18</v>
      </c>
      <c r="N409" s="246">
        <v>2</v>
      </c>
      <c r="O409" s="246">
        <v>4</v>
      </c>
      <c r="P409" s="246">
        <v>0</v>
      </c>
      <c r="Q409" s="246">
        <v>0</v>
      </c>
      <c r="R409" s="245">
        <v>28</v>
      </c>
      <c r="S409" s="245">
        <v>42</v>
      </c>
      <c r="T409" s="245">
        <v>85</v>
      </c>
      <c r="U409" s="245">
        <v>56</v>
      </c>
      <c r="V409" s="245">
        <v>31</v>
      </c>
      <c r="W409" s="245">
        <v>24</v>
      </c>
    </row>
    <row r="410" spans="1:23" ht="72.75" customHeight="1">
      <c r="A410" s="229" t="s">
        <v>459</v>
      </c>
      <c r="B410" s="230" t="s">
        <v>460</v>
      </c>
      <c r="C410" s="229" t="s">
        <v>900</v>
      </c>
      <c r="D410" s="245">
        <v>39</v>
      </c>
      <c r="E410" s="245">
        <v>106</v>
      </c>
      <c r="F410" s="245">
        <v>194</v>
      </c>
      <c r="G410" s="245">
        <v>457</v>
      </c>
      <c r="H410" s="245">
        <v>37</v>
      </c>
      <c r="I410" s="245">
        <v>84</v>
      </c>
      <c r="J410" s="245">
        <v>127</v>
      </c>
      <c r="K410" s="245">
        <v>287</v>
      </c>
      <c r="L410" s="245">
        <v>11</v>
      </c>
      <c r="M410" s="246">
        <v>23</v>
      </c>
      <c r="N410" s="246">
        <v>0</v>
      </c>
      <c r="O410" s="246">
        <v>3</v>
      </c>
      <c r="P410" s="246">
        <v>0</v>
      </c>
      <c r="Q410" s="246">
        <v>2</v>
      </c>
      <c r="R410" s="245">
        <v>12</v>
      </c>
      <c r="S410" s="245">
        <v>34</v>
      </c>
      <c r="T410" s="245">
        <v>20</v>
      </c>
      <c r="U410" s="245">
        <v>71</v>
      </c>
      <c r="V410" s="245">
        <v>9</v>
      </c>
      <c r="W410" s="245">
        <v>14</v>
      </c>
    </row>
    <row r="411" spans="1:23" ht="72.75" customHeight="1">
      <c r="A411" s="229" t="s">
        <v>459</v>
      </c>
      <c r="B411" s="230" t="s">
        <v>463</v>
      </c>
      <c r="C411" s="229" t="s">
        <v>683</v>
      </c>
      <c r="D411" s="245">
        <v>135</v>
      </c>
      <c r="E411" s="245">
        <v>156</v>
      </c>
      <c r="F411" s="245">
        <v>629</v>
      </c>
      <c r="G411" s="245">
        <v>645</v>
      </c>
      <c r="H411" s="245">
        <v>156</v>
      </c>
      <c r="I411" s="245">
        <v>75</v>
      </c>
      <c r="J411" s="245">
        <v>413</v>
      </c>
      <c r="K411" s="245">
        <v>225</v>
      </c>
      <c r="L411" s="245">
        <v>18</v>
      </c>
      <c r="M411" s="246">
        <v>21</v>
      </c>
      <c r="N411" s="246">
        <v>11</v>
      </c>
      <c r="O411" s="246">
        <v>3</v>
      </c>
      <c r="P411" s="246">
        <v>2</v>
      </c>
      <c r="Q411" s="246">
        <v>1</v>
      </c>
      <c r="R411" s="245">
        <v>50</v>
      </c>
      <c r="S411" s="245">
        <v>45</v>
      </c>
      <c r="T411" s="245">
        <v>74</v>
      </c>
      <c r="U411" s="245">
        <v>77</v>
      </c>
      <c r="V411" s="245">
        <v>24</v>
      </c>
      <c r="W411" s="245">
        <v>9</v>
      </c>
    </row>
    <row r="412" spans="1:23" ht="72.75" customHeight="1">
      <c r="A412" s="229" t="s">
        <v>459</v>
      </c>
      <c r="B412" s="230" t="s">
        <v>463</v>
      </c>
      <c r="C412" s="229" t="s">
        <v>684</v>
      </c>
      <c r="D412" s="245">
        <v>187</v>
      </c>
      <c r="E412" s="245">
        <v>138</v>
      </c>
      <c r="F412" s="245">
        <v>696</v>
      </c>
      <c r="G412" s="245">
        <v>530</v>
      </c>
      <c r="H412" s="245">
        <v>73</v>
      </c>
      <c r="I412" s="245">
        <v>29</v>
      </c>
      <c r="J412" s="245">
        <v>101</v>
      </c>
      <c r="K412" s="245">
        <v>66</v>
      </c>
      <c r="L412" s="245">
        <v>29</v>
      </c>
      <c r="M412" s="246">
        <v>13</v>
      </c>
      <c r="N412" s="246">
        <v>9</v>
      </c>
      <c r="O412" s="246">
        <v>3</v>
      </c>
      <c r="P412" s="246">
        <v>0</v>
      </c>
      <c r="Q412" s="246">
        <v>0</v>
      </c>
      <c r="R412" s="245">
        <v>76</v>
      </c>
      <c r="S412" s="245">
        <v>69</v>
      </c>
      <c r="T412" s="245">
        <v>70</v>
      </c>
      <c r="U412" s="245">
        <v>42</v>
      </c>
      <c r="V412" s="245">
        <v>7</v>
      </c>
      <c r="W412" s="245">
        <v>3</v>
      </c>
    </row>
    <row r="413" spans="1:23" ht="72.75" customHeight="1">
      <c r="A413" s="229" t="s">
        <v>459</v>
      </c>
      <c r="B413" s="230" t="s">
        <v>800</v>
      </c>
      <c r="C413" s="229" t="s">
        <v>685</v>
      </c>
      <c r="D413" s="245">
        <v>53</v>
      </c>
      <c r="E413" s="245">
        <v>126</v>
      </c>
      <c r="F413" s="245">
        <v>209</v>
      </c>
      <c r="G413" s="245">
        <v>442</v>
      </c>
      <c r="H413" s="245">
        <v>73</v>
      </c>
      <c r="I413" s="245">
        <v>61</v>
      </c>
      <c r="J413" s="245">
        <v>154</v>
      </c>
      <c r="K413" s="245">
        <v>146</v>
      </c>
      <c r="L413" s="245">
        <v>7</v>
      </c>
      <c r="M413" s="246">
        <v>11</v>
      </c>
      <c r="N413" s="246">
        <v>0</v>
      </c>
      <c r="O413" s="246">
        <v>0</v>
      </c>
      <c r="P413" s="246">
        <v>0</v>
      </c>
      <c r="Q413" s="246">
        <v>0</v>
      </c>
      <c r="R413" s="245">
        <v>18</v>
      </c>
      <c r="S413" s="245">
        <v>38</v>
      </c>
      <c r="T413" s="245">
        <v>40</v>
      </c>
      <c r="U413" s="245">
        <v>41</v>
      </c>
      <c r="V413" s="245">
        <v>26</v>
      </c>
      <c r="W413" s="245">
        <v>27</v>
      </c>
    </row>
    <row r="414" spans="1:23" ht="72.75" customHeight="1">
      <c r="A414" s="229" t="s">
        <v>459</v>
      </c>
      <c r="B414" s="230" t="s">
        <v>800</v>
      </c>
      <c r="C414" s="229" t="s">
        <v>686</v>
      </c>
      <c r="D414" s="245">
        <v>18</v>
      </c>
      <c r="E414" s="245">
        <v>170</v>
      </c>
      <c r="F414" s="245">
        <v>84</v>
      </c>
      <c r="G414" s="245">
        <v>598</v>
      </c>
      <c r="H414" s="245">
        <v>12</v>
      </c>
      <c r="I414" s="245">
        <v>32</v>
      </c>
      <c r="J414" s="245">
        <v>22</v>
      </c>
      <c r="K414" s="245">
        <v>56</v>
      </c>
      <c r="L414" s="245">
        <v>2</v>
      </c>
      <c r="M414" s="246">
        <v>9</v>
      </c>
      <c r="N414" s="246">
        <v>1</v>
      </c>
      <c r="O414" s="246">
        <v>1</v>
      </c>
      <c r="P414" s="246">
        <v>0</v>
      </c>
      <c r="Q414" s="246">
        <v>0</v>
      </c>
      <c r="R414" s="245">
        <v>17</v>
      </c>
      <c r="S414" s="245">
        <v>198</v>
      </c>
      <c r="T414" s="245">
        <v>9</v>
      </c>
      <c r="U414" s="245">
        <v>38</v>
      </c>
      <c r="V414" s="245">
        <v>0</v>
      </c>
      <c r="W414" s="245">
        <v>6</v>
      </c>
    </row>
    <row r="415" spans="1:23" ht="72.75" customHeight="1">
      <c r="A415" s="229" t="s">
        <v>459</v>
      </c>
      <c r="B415" s="230" t="s">
        <v>800</v>
      </c>
      <c r="C415" s="229" t="s">
        <v>687</v>
      </c>
      <c r="D415" s="245">
        <v>48</v>
      </c>
      <c r="E415" s="245">
        <v>53</v>
      </c>
      <c r="F415" s="245">
        <v>213</v>
      </c>
      <c r="G415" s="245">
        <v>190</v>
      </c>
      <c r="H415" s="245">
        <v>66</v>
      </c>
      <c r="I415" s="245">
        <v>34</v>
      </c>
      <c r="J415" s="245">
        <v>86</v>
      </c>
      <c r="K415" s="245">
        <v>61</v>
      </c>
      <c r="L415" s="245">
        <v>3</v>
      </c>
      <c r="M415" s="246">
        <v>1</v>
      </c>
      <c r="N415" s="246">
        <v>12</v>
      </c>
      <c r="O415" s="246">
        <v>6</v>
      </c>
      <c r="P415" s="246">
        <v>0</v>
      </c>
      <c r="Q415" s="246">
        <v>0</v>
      </c>
      <c r="R415" s="245">
        <v>10</v>
      </c>
      <c r="S415" s="245">
        <v>13</v>
      </c>
      <c r="T415" s="245">
        <v>19</v>
      </c>
      <c r="U415" s="245">
        <v>22</v>
      </c>
      <c r="V415" s="245">
        <v>7</v>
      </c>
      <c r="W415" s="245">
        <v>7</v>
      </c>
    </row>
    <row r="416" spans="1:23" ht="72.75" customHeight="1">
      <c r="A416" s="229" t="s">
        <v>459</v>
      </c>
      <c r="B416" s="230" t="s">
        <v>470</v>
      </c>
      <c r="C416" s="229" t="s">
        <v>688</v>
      </c>
      <c r="D416" s="245">
        <v>0</v>
      </c>
      <c r="E416" s="245">
        <v>0</v>
      </c>
      <c r="F416" s="245">
        <v>11</v>
      </c>
      <c r="G416" s="245">
        <v>0</v>
      </c>
      <c r="H416" s="245">
        <v>218</v>
      </c>
      <c r="I416" s="245">
        <v>54</v>
      </c>
      <c r="J416" s="245">
        <v>466</v>
      </c>
      <c r="K416" s="245">
        <v>110</v>
      </c>
      <c r="L416" s="245">
        <v>8</v>
      </c>
      <c r="M416" s="246">
        <v>2</v>
      </c>
      <c r="N416" s="246">
        <v>6</v>
      </c>
      <c r="O416" s="246">
        <v>3</v>
      </c>
      <c r="P416" s="246">
        <v>4</v>
      </c>
      <c r="Q416" s="246">
        <v>2</v>
      </c>
      <c r="R416" s="245">
        <v>0</v>
      </c>
      <c r="S416" s="245">
        <v>0</v>
      </c>
      <c r="T416" s="245">
        <v>68</v>
      </c>
      <c r="U416" s="245">
        <v>42</v>
      </c>
      <c r="V416" s="245">
        <v>40</v>
      </c>
      <c r="W416" s="245">
        <v>12</v>
      </c>
    </row>
    <row r="417" spans="1:23" ht="72.75" customHeight="1">
      <c r="A417" s="229" t="s">
        <v>459</v>
      </c>
      <c r="B417" s="230" t="s">
        <v>470</v>
      </c>
      <c r="C417" s="229" t="s">
        <v>804</v>
      </c>
      <c r="D417" s="245">
        <v>141</v>
      </c>
      <c r="E417" s="245">
        <v>59</v>
      </c>
      <c r="F417" s="245">
        <v>536</v>
      </c>
      <c r="G417" s="245">
        <v>187</v>
      </c>
      <c r="H417" s="245">
        <v>0</v>
      </c>
      <c r="I417" s="245">
        <v>0</v>
      </c>
      <c r="J417" s="245">
        <v>0</v>
      </c>
      <c r="K417" s="245">
        <v>0</v>
      </c>
      <c r="L417" s="245">
        <v>18</v>
      </c>
      <c r="M417" s="246">
        <v>7</v>
      </c>
      <c r="N417" s="246">
        <v>8</v>
      </c>
      <c r="O417" s="246">
        <v>3</v>
      </c>
      <c r="P417" s="246">
        <v>0</v>
      </c>
      <c r="Q417" s="246">
        <v>0</v>
      </c>
      <c r="R417" s="245">
        <v>11</v>
      </c>
      <c r="S417" s="245">
        <v>5</v>
      </c>
      <c r="T417" s="245">
        <v>0</v>
      </c>
      <c r="U417" s="245">
        <v>0</v>
      </c>
      <c r="V417" s="245">
        <v>0</v>
      </c>
      <c r="W417" s="245">
        <v>0</v>
      </c>
    </row>
    <row r="418" spans="1:23" ht="72.75" customHeight="1">
      <c r="A418" s="229" t="s">
        <v>459</v>
      </c>
      <c r="B418" s="230" t="s">
        <v>470</v>
      </c>
      <c r="C418" s="271" t="s">
        <v>805</v>
      </c>
      <c r="D418" s="245">
        <v>129</v>
      </c>
      <c r="E418" s="245">
        <v>59</v>
      </c>
      <c r="F418" s="245">
        <v>474</v>
      </c>
      <c r="G418" s="245">
        <v>210</v>
      </c>
      <c r="H418" s="245">
        <v>0</v>
      </c>
      <c r="I418" s="245">
        <v>0</v>
      </c>
      <c r="J418" s="245">
        <v>0</v>
      </c>
      <c r="K418" s="245">
        <v>0</v>
      </c>
      <c r="L418" s="245">
        <v>11</v>
      </c>
      <c r="M418" s="246">
        <v>8</v>
      </c>
      <c r="N418" s="246">
        <v>7</v>
      </c>
      <c r="O418" s="246">
        <v>2</v>
      </c>
      <c r="P418" s="246">
        <v>2</v>
      </c>
      <c r="Q418" s="246">
        <v>2</v>
      </c>
      <c r="R418" s="245">
        <v>20</v>
      </c>
      <c r="S418" s="245">
        <v>16</v>
      </c>
      <c r="T418" s="245">
        <v>0</v>
      </c>
      <c r="U418" s="245">
        <v>0</v>
      </c>
      <c r="V418" s="245">
        <v>0</v>
      </c>
      <c r="W418" s="245">
        <v>0</v>
      </c>
    </row>
    <row r="419" spans="1:23" ht="72.75" customHeight="1">
      <c r="A419" s="229" t="s">
        <v>477</v>
      </c>
      <c r="B419" s="230" t="s">
        <v>152</v>
      </c>
      <c r="C419" s="229" t="s">
        <v>30</v>
      </c>
      <c r="D419" s="278">
        <v>56</v>
      </c>
      <c r="E419" s="278">
        <v>109</v>
      </c>
      <c r="F419" s="278">
        <v>134</v>
      </c>
      <c r="G419" s="278">
        <v>298</v>
      </c>
      <c r="H419" s="278">
        <v>25</v>
      </c>
      <c r="I419" s="278">
        <v>49</v>
      </c>
      <c r="J419" s="278">
        <v>316</v>
      </c>
      <c r="K419" s="278">
        <v>306</v>
      </c>
      <c r="L419" s="278">
        <v>18</v>
      </c>
      <c r="M419" s="278">
        <v>42</v>
      </c>
      <c r="N419" s="136">
        <v>5</v>
      </c>
      <c r="O419" s="136">
        <v>11</v>
      </c>
      <c r="P419" s="136">
        <v>0</v>
      </c>
      <c r="Q419" s="136">
        <v>1</v>
      </c>
      <c r="R419" s="278">
        <v>3</v>
      </c>
      <c r="S419" s="278">
        <v>0</v>
      </c>
      <c r="T419" s="278">
        <v>15</v>
      </c>
      <c r="U419" s="278">
        <v>32</v>
      </c>
      <c r="V419" s="278">
        <v>4</v>
      </c>
      <c r="W419" s="278">
        <v>4</v>
      </c>
    </row>
    <row r="420" spans="1:23" ht="72.75" customHeight="1">
      <c r="A420" s="229" t="s">
        <v>477</v>
      </c>
      <c r="B420" s="230" t="s">
        <v>152</v>
      </c>
      <c r="C420" s="288" t="s">
        <v>31</v>
      </c>
      <c r="D420" s="278">
        <v>6</v>
      </c>
      <c r="E420" s="278">
        <v>10</v>
      </c>
      <c r="F420" s="278">
        <v>118</v>
      </c>
      <c r="G420" s="278">
        <v>152</v>
      </c>
      <c r="H420" s="278">
        <v>51</v>
      </c>
      <c r="I420" s="278">
        <v>46</v>
      </c>
      <c r="J420" s="278">
        <v>281</v>
      </c>
      <c r="K420" s="278">
        <v>203</v>
      </c>
      <c r="L420" s="278">
        <v>5</v>
      </c>
      <c r="M420" s="278">
        <v>6</v>
      </c>
      <c r="N420" s="136">
        <v>2</v>
      </c>
      <c r="O420" s="136">
        <v>0</v>
      </c>
      <c r="P420" s="136">
        <v>0</v>
      </c>
      <c r="Q420" s="136">
        <v>0</v>
      </c>
      <c r="R420" s="278">
        <v>0</v>
      </c>
      <c r="S420" s="278">
        <v>0</v>
      </c>
      <c r="T420" s="278">
        <v>27</v>
      </c>
      <c r="U420" s="278">
        <v>33</v>
      </c>
      <c r="V420" s="278">
        <v>15</v>
      </c>
      <c r="W420" s="278">
        <v>18</v>
      </c>
    </row>
    <row r="421" spans="1:23" ht="72.75" customHeight="1">
      <c r="A421" s="229" t="s">
        <v>477</v>
      </c>
      <c r="B421" s="230" t="s">
        <v>667</v>
      </c>
      <c r="C421" s="266" t="s">
        <v>901</v>
      </c>
      <c r="D421" s="278">
        <v>32</v>
      </c>
      <c r="E421" s="278">
        <v>28</v>
      </c>
      <c r="F421" s="278">
        <v>205</v>
      </c>
      <c r="G421" s="278">
        <v>155</v>
      </c>
      <c r="H421" s="278">
        <v>80</v>
      </c>
      <c r="I421" s="278">
        <v>70</v>
      </c>
      <c r="J421" s="278">
        <v>448</v>
      </c>
      <c r="K421" s="278">
        <v>231</v>
      </c>
      <c r="L421" s="278">
        <v>17</v>
      </c>
      <c r="M421" s="278">
        <v>7</v>
      </c>
      <c r="N421" s="136">
        <v>10</v>
      </c>
      <c r="O421" s="136">
        <v>0</v>
      </c>
      <c r="P421" s="136">
        <v>1</v>
      </c>
      <c r="Q421" s="136">
        <v>1</v>
      </c>
      <c r="R421" s="278">
        <v>0</v>
      </c>
      <c r="S421" s="278">
        <v>0</v>
      </c>
      <c r="T421" s="278">
        <v>16</v>
      </c>
      <c r="U421" s="278">
        <v>33</v>
      </c>
      <c r="V421" s="278">
        <v>17</v>
      </c>
      <c r="W421" s="278">
        <v>11</v>
      </c>
    </row>
    <row r="422" spans="1:23" ht="72.75" customHeight="1">
      <c r="A422" s="229" t="s">
        <v>477</v>
      </c>
      <c r="B422" s="230" t="s">
        <v>667</v>
      </c>
      <c r="C422" s="267" t="s">
        <v>32</v>
      </c>
      <c r="D422" s="278">
        <v>140</v>
      </c>
      <c r="E422" s="278">
        <v>126</v>
      </c>
      <c r="F422" s="278">
        <v>458</v>
      </c>
      <c r="G422" s="278">
        <v>516</v>
      </c>
      <c r="H422" s="278">
        <v>206</v>
      </c>
      <c r="I422" s="278">
        <v>182</v>
      </c>
      <c r="J422" s="278">
        <v>1606</v>
      </c>
      <c r="K422" s="278">
        <v>652</v>
      </c>
      <c r="L422" s="278">
        <v>46</v>
      </c>
      <c r="M422" s="278">
        <v>49</v>
      </c>
      <c r="N422" s="136">
        <v>4</v>
      </c>
      <c r="O422" s="136">
        <v>5</v>
      </c>
      <c r="P422" s="136">
        <v>3</v>
      </c>
      <c r="Q422" s="136">
        <v>2</v>
      </c>
      <c r="R422" s="278">
        <v>3</v>
      </c>
      <c r="S422" s="278">
        <v>4</v>
      </c>
      <c r="T422" s="278">
        <v>31</v>
      </c>
      <c r="U422" s="278">
        <v>45</v>
      </c>
      <c r="V422" s="278">
        <v>43</v>
      </c>
      <c r="W422" s="278">
        <v>63</v>
      </c>
    </row>
    <row r="423" spans="1:23" ht="72.75" customHeight="1">
      <c r="A423" s="229" t="s">
        <v>477</v>
      </c>
      <c r="B423" s="230" t="s">
        <v>667</v>
      </c>
      <c r="C423" s="267" t="s">
        <v>34</v>
      </c>
      <c r="D423" s="278">
        <v>84</v>
      </c>
      <c r="E423" s="278">
        <v>63</v>
      </c>
      <c r="F423" s="278">
        <v>347</v>
      </c>
      <c r="G423" s="278">
        <v>253</v>
      </c>
      <c r="H423" s="278">
        <v>113</v>
      </c>
      <c r="I423" s="278">
        <v>71</v>
      </c>
      <c r="J423" s="278">
        <v>441</v>
      </c>
      <c r="K423" s="278">
        <v>255</v>
      </c>
      <c r="L423" s="278">
        <v>33</v>
      </c>
      <c r="M423" s="278">
        <v>23</v>
      </c>
      <c r="N423" s="136">
        <v>6</v>
      </c>
      <c r="O423" s="136">
        <v>3</v>
      </c>
      <c r="P423" s="136">
        <v>1</v>
      </c>
      <c r="Q423" s="136">
        <v>1</v>
      </c>
      <c r="R423" s="278">
        <v>1</v>
      </c>
      <c r="S423" s="278">
        <v>1</v>
      </c>
      <c r="T423" s="278">
        <v>21</v>
      </c>
      <c r="U423" s="278">
        <v>17</v>
      </c>
      <c r="V423" s="278">
        <v>30</v>
      </c>
      <c r="W423" s="278">
        <v>21</v>
      </c>
    </row>
    <row r="424" spans="1:23" ht="72.75" customHeight="1">
      <c r="A424" s="229" t="s">
        <v>477</v>
      </c>
      <c r="B424" s="230" t="s">
        <v>667</v>
      </c>
      <c r="C424" s="267" t="s">
        <v>35</v>
      </c>
      <c r="D424" s="278">
        <v>73</v>
      </c>
      <c r="E424" s="278">
        <v>137</v>
      </c>
      <c r="F424" s="278">
        <v>217</v>
      </c>
      <c r="G424" s="278">
        <v>434</v>
      </c>
      <c r="H424" s="278">
        <v>27</v>
      </c>
      <c r="I424" s="278">
        <v>68</v>
      </c>
      <c r="J424" s="278">
        <v>164</v>
      </c>
      <c r="K424" s="278">
        <v>208</v>
      </c>
      <c r="L424" s="278">
        <v>13</v>
      </c>
      <c r="M424" s="278">
        <v>38</v>
      </c>
      <c r="N424" s="136">
        <v>1</v>
      </c>
      <c r="O424" s="136">
        <v>1</v>
      </c>
      <c r="P424" s="136">
        <v>0</v>
      </c>
      <c r="Q424" s="136">
        <v>1</v>
      </c>
      <c r="R424" s="278">
        <v>2</v>
      </c>
      <c r="S424" s="278">
        <v>5</v>
      </c>
      <c r="T424" s="278">
        <v>24</v>
      </c>
      <c r="U424" s="278">
        <v>82</v>
      </c>
      <c r="V424" s="278">
        <v>18</v>
      </c>
      <c r="W424" s="278">
        <v>26</v>
      </c>
    </row>
    <row r="425" spans="1:23" ht="72.75" customHeight="1">
      <c r="A425" s="229" t="s">
        <v>477</v>
      </c>
      <c r="B425" s="230" t="s">
        <v>141</v>
      </c>
      <c r="C425" s="267" t="s">
        <v>51</v>
      </c>
      <c r="D425" s="278">
        <v>19</v>
      </c>
      <c r="E425" s="278">
        <v>57</v>
      </c>
      <c r="F425" s="278">
        <v>128</v>
      </c>
      <c r="G425" s="278">
        <v>327</v>
      </c>
      <c r="H425" s="278">
        <v>56</v>
      </c>
      <c r="I425" s="278">
        <v>132</v>
      </c>
      <c r="J425" s="278">
        <v>56</v>
      </c>
      <c r="K425" s="278">
        <v>89</v>
      </c>
      <c r="L425" s="279">
        <v>0</v>
      </c>
      <c r="M425" s="279">
        <v>8</v>
      </c>
      <c r="N425" s="136">
        <v>1</v>
      </c>
      <c r="O425" s="136">
        <v>2</v>
      </c>
      <c r="P425" s="136">
        <v>0</v>
      </c>
      <c r="Q425" s="136">
        <v>0</v>
      </c>
      <c r="R425" s="278">
        <v>0</v>
      </c>
      <c r="S425" s="278">
        <v>1</v>
      </c>
      <c r="T425" s="278">
        <v>30</v>
      </c>
      <c r="U425" s="278">
        <v>48</v>
      </c>
      <c r="V425" s="278">
        <v>12</v>
      </c>
      <c r="W425" s="278">
        <v>22</v>
      </c>
    </row>
    <row r="426" spans="1:23" ht="72.75" customHeight="1">
      <c r="A426" s="229" t="s">
        <v>477</v>
      </c>
      <c r="B426" s="230" t="s">
        <v>141</v>
      </c>
      <c r="C426" s="267" t="s">
        <v>902</v>
      </c>
      <c r="D426" s="278">
        <v>297</v>
      </c>
      <c r="E426" s="278">
        <v>69</v>
      </c>
      <c r="F426" s="278">
        <v>1201</v>
      </c>
      <c r="G426" s="278">
        <v>269</v>
      </c>
      <c r="H426" s="278">
        <v>382</v>
      </c>
      <c r="I426" s="278">
        <v>66</v>
      </c>
      <c r="J426" s="278">
        <v>902</v>
      </c>
      <c r="K426" s="278">
        <v>94</v>
      </c>
      <c r="L426" s="279">
        <v>65</v>
      </c>
      <c r="M426" s="279">
        <v>26</v>
      </c>
      <c r="N426" s="136">
        <v>8</v>
      </c>
      <c r="O426" s="136">
        <v>0</v>
      </c>
      <c r="P426" s="136">
        <v>0</v>
      </c>
      <c r="Q426" s="136">
        <v>0</v>
      </c>
      <c r="R426" s="278">
        <v>7</v>
      </c>
      <c r="S426" s="278">
        <v>2</v>
      </c>
      <c r="T426" s="278">
        <v>113</v>
      </c>
      <c r="U426" s="278">
        <v>32</v>
      </c>
      <c r="V426" s="278">
        <v>36</v>
      </c>
      <c r="W426" s="278">
        <v>5</v>
      </c>
    </row>
    <row r="427" spans="1:23" ht="72.75" customHeight="1">
      <c r="A427" s="229" t="s">
        <v>477</v>
      </c>
      <c r="B427" s="230" t="s">
        <v>141</v>
      </c>
      <c r="C427" s="267" t="s">
        <v>903</v>
      </c>
      <c r="D427" s="278">
        <v>164</v>
      </c>
      <c r="E427" s="278">
        <v>43</v>
      </c>
      <c r="F427" s="278">
        <v>997</v>
      </c>
      <c r="G427" s="278">
        <v>251</v>
      </c>
      <c r="H427" s="278">
        <v>418</v>
      </c>
      <c r="I427" s="278">
        <v>72</v>
      </c>
      <c r="J427" s="278">
        <v>883</v>
      </c>
      <c r="K427" s="278">
        <v>160</v>
      </c>
      <c r="L427" s="279">
        <v>8</v>
      </c>
      <c r="M427" s="279">
        <v>1</v>
      </c>
      <c r="N427" s="136">
        <v>3</v>
      </c>
      <c r="O427" s="136">
        <v>1</v>
      </c>
      <c r="P427" s="136">
        <v>3</v>
      </c>
      <c r="Q427" s="136">
        <v>0</v>
      </c>
      <c r="R427" s="278">
        <v>9</v>
      </c>
      <c r="S427" s="278">
        <v>0</v>
      </c>
      <c r="T427" s="278">
        <v>92</v>
      </c>
      <c r="U427" s="278">
        <v>28</v>
      </c>
      <c r="V427" s="278">
        <v>60</v>
      </c>
      <c r="W427" s="278">
        <v>10</v>
      </c>
    </row>
    <row r="428" spans="1:23" ht="72.75" customHeight="1">
      <c r="A428" s="229" t="s">
        <v>477</v>
      </c>
      <c r="B428" s="230" t="s">
        <v>141</v>
      </c>
      <c r="C428" s="267" t="s">
        <v>904</v>
      </c>
      <c r="D428" s="278">
        <v>157</v>
      </c>
      <c r="E428" s="278">
        <v>53</v>
      </c>
      <c r="F428" s="278">
        <v>744</v>
      </c>
      <c r="G428" s="278">
        <v>173</v>
      </c>
      <c r="H428" s="278">
        <v>197</v>
      </c>
      <c r="I428" s="278">
        <v>35</v>
      </c>
      <c r="J428" s="278">
        <v>451</v>
      </c>
      <c r="K428" s="278">
        <v>54</v>
      </c>
      <c r="L428" s="279">
        <v>26</v>
      </c>
      <c r="M428" s="279">
        <v>10</v>
      </c>
      <c r="N428" s="136">
        <v>7</v>
      </c>
      <c r="O428" s="136">
        <v>1</v>
      </c>
      <c r="P428" s="136">
        <v>1</v>
      </c>
      <c r="Q428" s="136">
        <v>0</v>
      </c>
      <c r="R428" s="278">
        <v>2</v>
      </c>
      <c r="S428" s="278">
        <v>2</v>
      </c>
      <c r="T428" s="278">
        <v>92</v>
      </c>
      <c r="U428" s="278">
        <v>26</v>
      </c>
      <c r="V428" s="278">
        <v>14</v>
      </c>
      <c r="W428" s="278">
        <v>1</v>
      </c>
    </row>
    <row r="429" spans="1:23" ht="72.75" customHeight="1">
      <c r="A429" s="229" t="s">
        <v>477</v>
      </c>
      <c r="B429" s="230" t="s">
        <v>141</v>
      </c>
      <c r="C429" s="267" t="s">
        <v>55</v>
      </c>
      <c r="D429" s="278">
        <v>118</v>
      </c>
      <c r="E429" s="278">
        <v>74</v>
      </c>
      <c r="F429" s="278">
        <v>517</v>
      </c>
      <c r="G429" s="278">
        <v>298</v>
      </c>
      <c r="H429" s="278">
        <v>181</v>
      </c>
      <c r="I429" s="278">
        <v>100</v>
      </c>
      <c r="J429" s="278">
        <v>293</v>
      </c>
      <c r="K429" s="278">
        <v>123</v>
      </c>
      <c r="L429" s="279">
        <v>43</v>
      </c>
      <c r="M429" s="279">
        <v>27</v>
      </c>
      <c r="N429" s="136">
        <v>3</v>
      </c>
      <c r="O429" s="136">
        <v>1</v>
      </c>
      <c r="P429" s="136">
        <v>0</v>
      </c>
      <c r="Q429" s="136">
        <v>0</v>
      </c>
      <c r="R429" s="278">
        <v>5</v>
      </c>
      <c r="S429" s="278">
        <v>6</v>
      </c>
      <c r="T429" s="278">
        <v>52</v>
      </c>
      <c r="U429" s="278">
        <v>26</v>
      </c>
      <c r="V429" s="278">
        <v>17</v>
      </c>
      <c r="W429" s="278">
        <v>13</v>
      </c>
    </row>
    <row r="430" spans="1:23" ht="72.75" customHeight="1">
      <c r="A430" s="229" t="s">
        <v>477</v>
      </c>
      <c r="B430" s="230" t="s">
        <v>141</v>
      </c>
      <c r="C430" s="267" t="s">
        <v>56</v>
      </c>
      <c r="D430" s="278">
        <v>75</v>
      </c>
      <c r="E430" s="278">
        <v>93</v>
      </c>
      <c r="F430" s="278">
        <v>329</v>
      </c>
      <c r="G430" s="278">
        <v>348</v>
      </c>
      <c r="H430" s="278">
        <v>71</v>
      </c>
      <c r="I430" s="278">
        <v>56</v>
      </c>
      <c r="J430" s="278">
        <v>229</v>
      </c>
      <c r="K430" s="278">
        <v>106</v>
      </c>
      <c r="L430" s="279">
        <v>5</v>
      </c>
      <c r="M430" s="279">
        <v>18</v>
      </c>
      <c r="N430" s="136">
        <v>2</v>
      </c>
      <c r="O430" s="136">
        <v>1</v>
      </c>
      <c r="P430" s="136">
        <v>0</v>
      </c>
      <c r="Q430" s="136">
        <v>0</v>
      </c>
      <c r="R430" s="278">
        <v>6</v>
      </c>
      <c r="S430" s="278">
        <v>1</v>
      </c>
      <c r="T430" s="278">
        <v>30</v>
      </c>
      <c r="U430" s="278">
        <v>38</v>
      </c>
      <c r="V430" s="278">
        <v>4</v>
      </c>
      <c r="W430" s="278">
        <v>4</v>
      </c>
    </row>
    <row r="431" spans="1:23" ht="72.75" customHeight="1">
      <c r="A431" s="229" t="s">
        <v>477</v>
      </c>
      <c r="B431" s="230" t="s">
        <v>141</v>
      </c>
      <c r="C431" s="267" t="s">
        <v>143</v>
      </c>
      <c r="D431" s="278">
        <v>0</v>
      </c>
      <c r="E431" s="278">
        <v>0</v>
      </c>
      <c r="F431" s="278">
        <v>195</v>
      </c>
      <c r="G431" s="278">
        <v>112</v>
      </c>
      <c r="H431" s="278">
        <v>34</v>
      </c>
      <c r="I431" s="278">
        <v>37</v>
      </c>
      <c r="J431" s="278">
        <v>20</v>
      </c>
      <c r="K431" s="278">
        <v>9</v>
      </c>
      <c r="L431" s="279">
        <v>15</v>
      </c>
      <c r="M431" s="279">
        <v>5</v>
      </c>
      <c r="N431" s="136">
        <v>1</v>
      </c>
      <c r="O431" s="136">
        <v>0</v>
      </c>
      <c r="P431" s="136">
        <v>0</v>
      </c>
      <c r="Q431" s="136">
        <v>0</v>
      </c>
      <c r="R431" s="278">
        <v>0</v>
      </c>
      <c r="S431" s="278">
        <v>7</v>
      </c>
      <c r="T431" s="278">
        <v>13</v>
      </c>
      <c r="U431" s="278">
        <v>34</v>
      </c>
      <c r="V431" s="278">
        <v>3</v>
      </c>
      <c r="W431" s="278">
        <v>2</v>
      </c>
    </row>
    <row r="432" spans="1:23" ht="72.75" customHeight="1">
      <c r="A432" s="229" t="s">
        <v>477</v>
      </c>
      <c r="B432" s="230" t="s">
        <v>141</v>
      </c>
      <c r="C432" s="267" t="s">
        <v>905</v>
      </c>
      <c r="D432" s="278">
        <v>0</v>
      </c>
      <c r="E432" s="278">
        <v>0</v>
      </c>
      <c r="F432" s="278">
        <v>14</v>
      </c>
      <c r="G432" s="278">
        <v>38</v>
      </c>
      <c r="H432" s="278">
        <v>46</v>
      </c>
      <c r="I432" s="278">
        <v>53</v>
      </c>
      <c r="J432" s="278">
        <v>224</v>
      </c>
      <c r="K432" s="278">
        <v>152</v>
      </c>
      <c r="L432" s="279">
        <v>0</v>
      </c>
      <c r="M432" s="279">
        <v>0</v>
      </c>
      <c r="N432" s="136">
        <v>0</v>
      </c>
      <c r="O432" s="136">
        <v>0</v>
      </c>
      <c r="P432" s="136">
        <v>0</v>
      </c>
      <c r="Q432" s="136">
        <v>0</v>
      </c>
      <c r="R432" s="278">
        <v>0</v>
      </c>
      <c r="S432" s="278">
        <v>0</v>
      </c>
      <c r="T432" s="278">
        <v>0</v>
      </c>
      <c r="U432" s="278">
        <v>0</v>
      </c>
      <c r="V432" s="278">
        <v>1</v>
      </c>
      <c r="W432" s="278">
        <v>4</v>
      </c>
    </row>
    <row r="433" spans="1:23" ht="72.75" customHeight="1">
      <c r="A433" s="229" t="s">
        <v>477</v>
      </c>
      <c r="B433" s="230" t="s">
        <v>144</v>
      </c>
      <c r="C433" s="267" t="s">
        <v>61</v>
      </c>
      <c r="D433" s="278">
        <v>80</v>
      </c>
      <c r="E433" s="278">
        <v>129</v>
      </c>
      <c r="F433" s="278">
        <v>401</v>
      </c>
      <c r="G433" s="278">
        <v>693</v>
      </c>
      <c r="H433" s="278">
        <v>36</v>
      </c>
      <c r="I433" s="278">
        <v>35</v>
      </c>
      <c r="J433" s="278">
        <v>62</v>
      </c>
      <c r="K433" s="278">
        <v>45</v>
      </c>
      <c r="L433" s="278">
        <v>7</v>
      </c>
      <c r="M433" s="278">
        <v>10</v>
      </c>
      <c r="N433" s="136">
        <v>3</v>
      </c>
      <c r="O433" s="136">
        <v>4</v>
      </c>
      <c r="P433" s="136">
        <v>0</v>
      </c>
      <c r="Q433" s="136">
        <v>0</v>
      </c>
      <c r="R433" s="278">
        <v>52</v>
      </c>
      <c r="S433" s="278">
        <v>109</v>
      </c>
      <c r="T433" s="278">
        <v>15</v>
      </c>
      <c r="U433" s="278">
        <v>20</v>
      </c>
      <c r="V433" s="278">
        <v>6</v>
      </c>
      <c r="W433" s="278">
        <v>3</v>
      </c>
    </row>
    <row r="434" spans="1:23" ht="72.75" customHeight="1">
      <c r="A434" s="229" t="s">
        <v>477</v>
      </c>
      <c r="B434" s="230" t="s">
        <v>144</v>
      </c>
      <c r="C434" s="267" t="s">
        <v>65</v>
      </c>
      <c r="D434" s="278">
        <v>53</v>
      </c>
      <c r="E434" s="278">
        <v>127</v>
      </c>
      <c r="F434" s="278">
        <v>188</v>
      </c>
      <c r="G434" s="278">
        <v>365</v>
      </c>
      <c r="H434" s="278">
        <v>44</v>
      </c>
      <c r="I434" s="278">
        <v>51</v>
      </c>
      <c r="J434" s="278">
        <v>139</v>
      </c>
      <c r="K434" s="278">
        <v>133</v>
      </c>
      <c r="L434" s="278">
        <v>8</v>
      </c>
      <c r="M434" s="278">
        <v>31</v>
      </c>
      <c r="N434" s="136">
        <v>3</v>
      </c>
      <c r="O434" s="136">
        <v>3</v>
      </c>
      <c r="P434" s="136">
        <v>0</v>
      </c>
      <c r="Q434" s="136">
        <v>0</v>
      </c>
      <c r="R434" s="278">
        <v>6</v>
      </c>
      <c r="S434" s="278">
        <v>28</v>
      </c>
      <c r="T434" s="278">
        <v>19</v>
      </c>
      <c r="U434" s="278">
        <v>53</v>
      </c>
      <c r="V434" s="278">
        <v>7</v>
      </c>
      <c r="W434" s="278">
        <v>4</v>
      </c>
    </row>
    <row r="435" spans="1:23" ht="72.75" customHeight="1">
      <c r="A435" s="229" t="s">
        <v>477</v>
      </c>
      <c r="B435" s="230" t="s">
        <v>702</v>
      </c>
      <c r="C435" s="267" t="s">
        <v>906</v>
      </c>
      <c r="D435" s="278">
        <v>12</v>
      </c>
      <c r="E435" s="278">
        <v>209</v>
      </c>
      <c r="F435" s="278">
        <v>36</v>
      </c>
      <c r="G435" s="278">
        <v>704</v>
      </c>
      <c r="H435" s="278">
        <v>5</v>
      </c>
      <c r="I435" s="278">
        <v>51</v>
      </c>
      <c r="J435" s="278">
        <v>28</v>
      </c>
      <c r="K435" s="278">
        <v>174</v>
      </c>
      <c r="L435" s="278">
        <v>2</v>
      </c>
      <c r="M435" s="278">
        <v>34</v>
      </c>
      <c r="N435" s="134">
        <v>0</v>
      </c>
      <c r="O435" s="134">
        <v>6</v>
      </c>
      <c r="P435" s="134">
        <v>0</v>
      </c>
      <c r="Q435" s="134">
        <v>0</v>
      </c>
      <c r="R435" s="278">
        <v>2</v>
      </c>
      <c r="S435" s="278">
        <v>71</v>
      </c>
      <c r="T435" s="278">
        <v>5</v>
      </c>
      <c r="U435" s="278">
        <v>102</v>
      </c>
      <c r="V435" s="278">
        <v>0</v>
      </c>
      <c r="W435" s="278">
        <v>12</v>
      </c>
    </row>
    <row r="436" spans="1:23" ht="72.75" customHeight="1">
      <c r="A436" s="229" t="s">
        <v>477</v>
      </c>
      <c r="B436" s="230" t="s">
        <v>702</v>
      </c>
      <c r="C436" s="277" t="s">
        <v>849</v>
      </c>
      <c r="D436" s="278">
        <v>3</v>
      </c>
      <c r="E436" s="278">
        <v>31</v>
      </c>
      <c r="F436" s="278">
        <v>48</v>
      </c>
      <c r="G436" s="278">
        <v>248</v>
      </c>
      <c r="H436" s="278">
        <v>18</v>
      </c>
      <c r="I436" s="278">
        <v>82</v>
      </c>
      <c r="J436" s="278">
        <v>84</v>
      </c>
      <c r="K436" s="278">
        <v>297</v>
      </c>
      <c r="L436" s="278">
        <v>6</v>
      </c>
      <c r="M436" s="278">
        <v>13</v>
      </c>
      <c r="N436" s="134">
        <v>0</v>
      </c>
      <c r="O436" s="134">
        <v>7</v>
      </c>
      <c r="P436" s="134">
        <v>1</v>
      </c>
      <c r="Q436" s="134">
        <v>0</v>
      </c>
      <c r="R436" s="278">
        <v>1</v>
      </c>
      <c r="S436" s="278">
        <v>6</v>
      </c>
      <c r="T436" s="278">
        <v>4</v>
      </c>
      <c r="U436" s="278">
        <v>35</v>
      </c>
      <c r="V436" s="278">
        <v>2</v>
      </c>
      <c r="W436" s="278">
        <v>9</v>
      </c>
    </row>
    <row r="437" spans="1:23" ht="72.75" customHeight="1">
      <c r="A437" s="229" t="s">
        <v>477</v>
      </c>
      <c r="B437" s="230" t="s">
        <v>668</v>
      </c>
      <c r="C437" s="267" t="s">
        <v>46</v>
      </c>
      <c r="D437" s="278">
        <v>36</v>
      </c>
      <c r="E437" s="278">
        <v>110</v>
      </c>
      <c r="F437" s="278">
        <v>144</v>
      </c>
      <c r="G437" s="278">
        <v>475</v>
      </c>
      <c r="H437" s="278">
        <v>29</v>
      </c>
      <c r="I437" s="278">
        <v>102</v>
      </c>
      <c r="J437" s="278">
        <v>55</v>
      </c>
      <c r="K437" s="278">
        <v>218</v>
      </c>
      <c r="L437" s="278">
        <v>5</v>
      </c>
      <c r="M437" s="278">
        <v>19</v>
      </c>
      <c r="N437" s="134">
        <v>0</v>
      </c>
      <c r="O437" s="134">
        <v>0</v>
      </c>
      <c r="P437" s="134">
        <v>0</v>
      </c>
      <c r="Q437" s="134">
        <v>0</v>
      </c>
      <c r="R437" s="278">
        <v>2</v>
      </c>
      <c r="S437" s="278">
        <v>12</v>
      </c>
      <c r="T437" s="278">
        <v>20</v>
      </c>
      <c r="U437" s="278">
        <v>89</v>
      </c>
      <c r="V437" s="278">
        <v>6</v>
      </c>
      <c r="W437" s="278">
        <v>18</v>
      </c>
    </row>
    <row r="438" spans="1:23" ht="72.75" customHeight="1">
      <c r="A438" s="229" t="s">
        <v>477</v>
      </c>
      <c r="B438" s="230" t="s">
        <v>668</v>
      </c>
      <c r="C438" s="267" t="s">
        <v>325</v>
      </c>
      <c r="D438" s="278">
        <v>37</v>
      </c>
      <c r="E438" s="278">
        <v>141</v>
      </c>
      <c r="F438" s="278">
        <v>143</v>
      </c>
      <c r="G438" s="278">
        <v>455</v>
      </c>
      <c r="H438" s="278">
        <v>48</v>
      </c>
      <c r="I438" s="278">
        <v>107</v>
      </c>
      <c r="J438" s="278">
        <v>149</v>
      </c>
      <c r="K438" s="278">
        <v>337</v>
      </c>
      <c r="L438" s="278">
        <v>22</v>
      </c>
      <c r="M438" s="278">
        <v>40</v>
      </c>
      <c r="N438" s="134">
        <v>0</v>
      </c>
      <c r="O438" s="134">
        <v>0</v>
      </c>
      <c r="P438" s="134">
        <v>0</v>
      </c>
      <c r="Q438" s="134">
        <v>0</v>
      </c>
      <c r="R438" s="278">
        <v>8</v>
      </c>
      <c r="S438" s="278">
        <v>23</v>
      </c>
      <c r="T438" s="278">
        <v>13</v>
      </c>
      <c r="U438" s="278">
        <v>48</v>
      </c>
      <c r="V438" s="278">
        <v>2</v>
      </c>
      <c r="W438" s="278">
        <v>14</v>
      </c>
    </row>
    <row r="439" spans="1:23" ht="72.75" customHeight="1">
      <c r="A439" s="229" t="s">
        <v>477</v>
      </c>
      <c r="B439" s="230" t="s">
        <v>668</v>
      </c>
      <c r="C439" s="267" t="s">
        <v>907</v>
      </c>
      <c r="D439" s="278">
        <v>34</v>
      </c>
      <c r="E439" s="278">
        <v>230</v>
      </c>
      <c r="F439" s="278">
        <v>142</v>
      </c>
      <c r="G439" s="278">
        <v>843</v>
      </c>
      <c r="H439" s="278">
        <v>0</v>
      </c>
      <c r="I439" s="278">
        <v>0</v>
      </c>
      <c r="J439" s="278">
        <v>0</v>
      </c>
      <c r="K439" s="278">
        <v>0</v>
      </c>
      <c r="L439" s="278">
        <v>4</v>
      </c>
      <c r="M439" s="278">
        <v>4</v>
      </c>
      <c r="N439" s="134">
        <v>0</v>
      </c>
      <c r="O439" s="134">
        <v>1</v>
      </c>
      <c r="P439" s="134">
        <v>1</v>
      </c>
      <c r="Q439" s="134">
        <v>0</v>
      </c>
      <c r="R439" s="278">
        <v>14</v>
      </c>
      <c r="S439" s="278">
        <v>129</v>
      </c>
      <c r="T439" s="278">
        <v>0</v>
      </c>
      <c r="U439" s="278">
        <v>0</v>
      </c>
      <c r="V439" s="278">
        <v>0</v>
      </c>
      <c r="W439" s="278">
        <v>0</v>
      </c>
    </row>
    <row r="440" spans="1:23" ht="72.75" customHeight="1">
      <c r="A440" s="229" t="s">
        <v>477</v>
      </c>
      <c r="B440" s="230" t="s">
        <v>668</v>
      </c>
      <c r="C440" s="267" t="s">
        <v>776</v>
      </c>
      <c r="D440" s="278">
        <v>0</v>
      </c>
      <c r="E440" s="278">
        <v>0</v>
      </c>
      <c r="F440" s="278">
        <v>0</v>
      </c>
      <c r="G440" s="278">
        <v>0</v>
      </c>
      <c r="H440" s="278">
        <v>27</v>
      </c>
      <c r="I440" s="278">
        <v>91</v>
      </c>
      <c r="J440" s="278">
        <v>62</v>
      </c>
      <c r="K440" s="278">
        <v>226</v>
      </c>
      <c r="L440" s="278">
        <v>0</v>
      </c>
      <c r="M440" s="278">
        <v>0</v>
      </c>
      <c r="N440" s="136">
        <v>0</v>
      </c>
      <c r="O440" s="136">
        <v>0</v>
      </c>
      <c r="P440" s="136">
        <v>0</v>
      </c>
      <c r="Q440" s="136">
        <v>0</v>
      </c>
      <c r="R440" s="278">
        <v>2</v>
      </c>
      <c r="S440" s="278">
        <v>17</v>
      </c>
      <c r="T440" s="278">
        <v>29</v>
      </c>
      <c r="U440" s="278">
        <v>138</v>
      </c>
      <c r="V440" s="278">
        <v>6</v>
      </c>
      <c r="W440" s="278">
        <v>10</v>
      </c>
    </row>
    <row r="441" spans="1:23" ht="72.75" customHeight="1">
      <c r="A441" s="229" t="s">
        <v>477</v>
      </c>
      <c r="B441" s="230" t="s">
        <v>668</v>
      </c>
      <c r="C441" s="267" t="s">
        <v>908</v>
      </c>
      <c r="D441" s="278">
        <v>40</v>
      </c>
      <c r="E441" s="278">
        <v>67</v>
      </c>
      <c r="F441" s="278">
        <v>168</v>
      </c>
      <c r="G441" s="278">
        <v>274</v>
      </c>
      <c r="H441" s="278">
        <v>0</v>
      </c>
      <c r="I441" s="278">
        <v>0</v>
      </c>
      <c r="J441" s="278">
        <v>0</v>
      </c>
      <c r="K441" s="278">
        <v>0</v>
      </c>
      <c r="L441" s="278">
        <v>1</v>
      </c>
      <c r="M441" s="278">
        <v>5</v>
      </c>
      <c r="N441" s="249">
        <v>1</v>
      </c>
      <c r="O441" s="134">
        <v>3</v>
      </c>
      <c r="P441" s="134">
        <v>0</v>
      </c>
      <c r="Q441" s="134">
        <v>0</v>
      </c>
      <c r="R441" s="278">
        <v>0</v>
      </c>
      <c r="S441" s="278">
        <v>0</v>
      </c>
      <c r="T441" s="278">
        <v>0</v>
      </c>
      <c r="U441" s="278">
        <v>0</v>
      </c>
      <c r="V441" s="278">
        <v>0</v>
      </c>
      <c r="W441" s="278">
        <v>0</v>
      </c>
    </row>
    <row r="442" spans="1:23" ht="72.75" customHeight="1">
      <c r="A442" s="229" t="s">
        <v>477</v>
      </c>
      <c r="B442" s="230" t="s">
        <v>668</v>
      </c>
      <c r="C442" s="277" t="s">
        <v>502</v>
      </c>
      <c r="D442" s="278">
        <v>0</v>
      </c>
      <c r="E442" s="278">
        <v>0</v>
      </c>
      <c r="F442" s="278">
        <v>1</v>
      </c>
      <c r="G442" s="278">
        <v>1</v>
      </c>
      <c r="H442" s="278">
        <v>54</v>
      </c>
      <c r="I442" s="278">
        <v>83</v>
      </c>
      <c r="J442" s="278">
        <v>98</v>
      </c>
      <c r="K442" s="278">
        <v>147</v>
      </c>
      <c r="L442" s="278">
        <v>0</v>
      </c>
      <c r="M442" s="278">
        <v>0</v>
      </c>
      <c r="N442" s="134">
        <v>0</v>
      </c>
      <c r="O442" s="134">
        <v>0</v>
      </c>
      <c r="P442" s="134">
        <v>0</v>
      </c>
      <c r="Q442" s="134">
        <v>0</v>
      </c>
      <c r="R442" s="278">
        <v>0</v>
      </c>
      <c r="S442" s="278">
        <v>5</v>
      </c>
      <c r="T442" s="278">
        <v>9</v>
      </c>
      <c r="U442" s="278">
        <v>22</v>
      </c>
      <c r="V442" s="278">
        <v>5</v>
      </c>
      <c r="W442" s="278">
        <v>3</v>
      </c>
    </row>
    <row r="443" spans="1:23" ht="72.75" customHeight="1">
      <c r="A443" s="229" t="s">
        <v>477</v>
      </c>
      <c r="B443" s="230" t="s">
        <v>668</v>
      </c>
      <c r="C443" s="267" t="s">
        <v>909</v>
      </c>
      <c r="D443" s="278">
        <v>0</v>
      </c>
      <c r="E443" s="278">
        <v>0</v>
      </c>
      <c r="F443" s="278">
        <v>101</v>
      </c>
      <c r="G443" s="278">
        <v>278</v>
      </c>
      <c r="H443" s="278">
        <v>168</v>
      </c>
      <c r="I443" s="278">
        <v>118</v>
      </c>
      <c r="J443" s="278">
        <v>408</v>
      </c>
      <c r="K443" s="278">
        <v>844</v>
      </c>
      <c r="L443" s="278">
        <v>0</v>
      </c>
      <c r="M443" s="278">
        <v>0</v>
      </c>
      <c r="N443" s="134">
        <v>1</v>
      </c>
      <c r="O443" s="134">
        <v>0</v>
      </c>
      <c r="P443" s="134">
        <v>0</v>
      </c>
      <c r="Q443" s="134">
        <v>0</v>
      </c>
      <c r="R443" s="278">
        <v>3</v>
      </c>
      <c r="S443" s="278">
        <v>12</v>
      </c>
      <c r="T443" s="278">
        <v>15</v>
      </c>
      <c r="U443" s="278">
        <v>30</v>
      </c>
      <c r="V443" s="278">
        <v>10</v>
      </c>
      <c r="W443" s="278">
        <v>24</v>
      </c>
    </row>
    <row r="444" spans="1:23" ht="72.75" customHeight="1">
      <c r="A444" s="229" t="s">
        <v>477</v>
      </c>
      <c r="B444" s="230" t="s">
        <v>669</v>
      </c>
      <c r="C444" s="267" t="s">
        <v>258</v>
      </c>
      <c r="D444" s="278">
        <v>213</v>
      </c>
      <c r="E444" s="278">
        <v>181</v>
      </c>
      <c r="F444" s="278">
        <v>706</v>
      </c>
      <c r="G444" s="278">
        <v>592</v>
      </c>
      <c r="H444" s="278">
        <v>155</v>
      </c>
      <c r="I444" s="278">
        <v>77</v>
      </c>
      <c r="J444" s="278">
        <v>321</v>
      </c>
      <c r="K444" s="278">
        <v>186</v>
      </c>
      <c r="L444" s="278">
        <v>20</v>
      </c>
      <c r="M444" s="278">
        <v>12</v>
      </c>
      <c r="N444" s="134">
        <v>2</v>
      </c>
      <c r="O444" s="134">
        <v>3</v>
      </c>
      <c r="P444" s="134">
        <v>0</v>
      </c>
      <c r="Q444" s="134">
        <v>0</v>
      </c>
      <c r="R444" s="278">
        <v>3</v>
      </c>
      <c r="S444" s="278">
        <v>6</v>
      </c>
      <c r="T444" s="278">
        <v>55</v>
      </c>
      <c r="U444" s="278">
        <v>66</v>
      </c>
      <c r="V444" s="278">
        <v>31</v>
      </c>
      <c r="W444" s="278">
        <v>11</v>
      </c>
    </row>
    <row r="445" spans="1:23" ht="72.75" customHeight="1">
      <c r="A445" s="229" t="s">
        <v>477</v>
      </c>
      <c r="B445" s="230" t="s">
        <v>669</v>
      </c>
      <c r="C445" s="267" t="s">
        <v>38</v>
      </c>
      <c r="D445" s="278">
        <v>151</v>
      </c>
      <c r="E445" s="278">
        <v>127</v>
      </c>
      <c r="F445" s="278">
        <v>590</v>
      </c>
      <c r="G445" s="278">
        <v>507</v>
      </c>
      <c r="H445" s="278">
        <v>140</v>
      </c>
      <c r="I445" s="278">
        <v>55</v>
      </c>
      <c r="J445" s="278">
        <v>484</v>
      </c>
      <c r="K445" s="278">
        <v>258</v>
      </c>
      <c r="L445" s="278">
        <v>43</v>
      </c>
      <c r="M445" s="278">
        <v>39</v>
      </c>
      <c r="N445" s="134">
        <v>3</v>
      </c>
      <c r="O445" s="134">
        <v>2</v>
      </c>
      <c r="P445" s="134">
        <v>0</v>
      </c>
      <c r="Q445" s="134">
        <v>0</v>
      </c>
      <c r="R445" s="278">
        <v>5</v>
      </c>
      <c r="S445" s="278">
        <v>17</v>
      </c>
      <c r="T445" s="278">
        <v>98</v>
      </c>
      <c r="U445" s="278">
        <v>83</v>
      </c>
      <c r="V445" s="278">
        <v>11</v>
      </c>
      <c r="W445" s="278">
        <v>3</v>
      </c>
    </row>
    <row r="446" spans="1:23" ht="72.75" customHeight="1">
      <c r="A446" s="229" t="s">
        <v>477</v>
      </c>
      <c r="B446" s="230" t="s">
        <v>669</v>
      </c>
      <c r="C446" s="267" t="s">
        <v>268</v>
      </c>
      <c r="D446" s="278">
        <v>96</v>
      </c>
      <c r="E446" s="278">
        <v>119</v>
      </c>
      <c r="F446" s="278">
        <v>295</v>
      </c>
      <c r="G446" s="278">
        <v>305</v>
      </c>
      <c r="H446" s="278">
        <v>230</v>
      </c>
      <c r="I446" s="278">
        <v>166</v>
      </c>
      <c r="J446" s="278">
        <v>878</v>
      </c>
      <c r="K446" s="278">
        <v>746</v>
      </c>
      <c r="L446" s="278">
        <v>23</v>
      </c>
      <c r="M446" s="278">
        <v>26</v>
      </c>
      <c r="N446" s="134">
        <v>2</v>
      </c>
      <c r="O446" s="134">
        <v>0</v>
      </c>
      <c r="P446" s="134">
        <v>0</v>
      </c>
      <c r="Q446" s="134">
        <v>0</v>
      </c>
      <c r="R446" s="278">
        <v>0</v>
      </c>
      <c r="S446" s="278">
        <v>0</v>
      </c>
      <c r="T446" s="278">
        <v>23</v>
      </c>
      <c r="U446" s="278">
        <v>43</v>
      </c>
      <c r="V446" s="278">
        <v>43</v>
      </c>
      <c r="W446" s="278">
        <v>28</v>
      </c>
    </row>
    <row r="447" spans="1:23" ht="72.75" customHeight="1">
      <c r="A447" s="229" t="s">
        <v>477</v>
      </c>
      <c r="B447" s="230" t="s">
        <v>669</v>
      </c>
      <c r="C447" s="267" t="s">
        <v>910</v>
      </c>
      <c r="D447" s="278">
        <v>0</v>
      </c>
      <c r="E447" s="278">
        <v>0</v>
      </c>
      <c r="F447" s="278">
        <v>275</v>
      </c>
      <c r="G447" s="278">
        <v>151</v>
      </c>
      <c r="H447" s="278">
        <v>132</v>
      </c>
      <c r="I447" s="278">
        <v>51</v>
      </c>
      <c r="J447" s="278">
        <v>225</v>
      </c>
      <c r="K447" s="278">
        <v>118</v>
      </c>
      <c r="L447" s="278">
        <v>0</v>
      </c>
      <c r="M447" s="278">
        <v>2</v>
      </c>
      <c r="N447" s="134">
        <v>2</v>
      </c>
      <c r="O447" s="134">
        <v>1</v>
      </c>
      <c r="P447" s="134">
        <v>0</v>
      </c>
      <c r="Q447" s="134">
        <v>0</v>
      </c>
      <c r="R447" s="278">
        <v>7</v>
      </c>
      <c r="S447" s="278">
        <v>16</v>
      </c>
      <c r="T447" s="278">
        <v>41</v>
      </c>
      <c r="U447" s="278">
        <v>32</v>
      </c>
      <c r="V447" s="278">
        <v>15</v>
      </c>
      <c r="W447" s="278">
        <v>9</v>
      </c>
    </row>
    <row r="448" spans="1:23" ht="72.75" customHeight="1">
      <c r="A448" s="229" t="s">
        <v>477</v>
      </c>
      <c r="B448" s="230" t="s">
        <v>669</v>
      </c>
      <c r="C448" s="267" t="s">
        <v>155</v>
      </c>
      <c r="D448" s="278">
        <v>163</v>
      </c>
      <c r="E448" s="278">
        <v>90</v>
      </c>
      <c r="F448" s="278">
        <v>738</v>
      </c>
      <c r="G448" s="278">
        <v>370</v>
      </c>
      <c r="H448" s="278">
        <v>506</v>
      </c>
      <c r="I448" s="278">
        <v>248</v>
      </c>
      <c r="J448" s="278">
        <v>2191</v>
      </c>
      <c r="K448" s="278">
        <v>1669</v>
      </c>
      <c r="L448" s="278">
        <v>22</v>
      </c>
      <c r="M448" s="278">
        <v>4</v>
      </c>
      <c r="N448" s="134">
        <v>1</v>
      </c>
      <c r="O448" s="134">
        <v>0</v>
      </c>
      <c r="P448" s="134">
        <v>0</v>
      </c>
      <c r="Q448" s="134">
        <v>0</v>
      </c>
      <c r="R448" s="278">
        <v>5</v>
      </c>
      <c r="S448" s="278">
        <v>4</v>
      </c>
      <c r="T448" s="278">
        <v>31</v>
      </c>
      <c r="U448" s="278">
        <v>44</v>
      </c>
      <c r="V448" s="278">
        <v>68</v>
      </c>
      <c r="W448" s="278">
        <v>82</v>
      </c>
    </row>
    <row r="449" spans="1:23" ht="72.75" customHeight="1">
      <c r="A449" s="229" t="s">
        <v>477</v>
      </c>
      <c r="B449" s="230" t="s">
        <v>703</v>
      </c>
      <c r="C449" s="267" t="s">
        <v>289</v>
      </c>
      <c r="D449" s="278">
        <v>87</v>
      </c>
      <c r="E449" s="278">
        <v>102</v>
      </c>
      <c r="F449" s="278">
        <v>287</v>
      </c>
      <c r="G449" s="278">
        <v>319</v>
      </c>
      <c r="H449" s="278">
        <v>113</v>
      </c>
      <c r="I449" s="278">
        <v>97</v>
      </c>
      <c r="J449" s="278">
        <v>156</v>
      </c>
      <c r="K449" s="278">
        <v>168</v>
      </c>
      <c r="L449" s="278">
        <v>5</v>
      </c>
      <c r="M449" s="278">
        <v>12</v>
      </c>
      <c r="N449" s="134">
        <v>3</v>
      </c>
      <c r="O449" s="134">
        <v>3</v>
      </c>
      <c r="P449" s="134">
        <v>0</v>
      </c>
      <c r="Q449" s="134">
        <v>0</v>
      </c>
      <c r="R449" s="278">
        <v>11</v>
      </c>
      <c r="S449" s="278">
        <v>16</v>
      </c>
      <c r="T449" s="278">
        <v>39</v>
      </c>
      <c r="U449" s="278">
        <v>60</v>
      </c>
      <c r="V449" s="278">
        <v>15</v>
      </c>
      <c r="W449" s="278">
        <v>20</v>
      </c>
    </row>
    <row r="450" spans="1:23" ht="72.75" customHeight="1">
      <c r="A450" s="229" t="s">
        <v>477</v>
      </c>
      <c r="B450" s="230" t="s">
        <v>703</v>
      </c>
      <c r="C450" s="267" t="s">
        <v>911</v>
      </c>
      <c r="D450" s="278">
        <v>63</v>
      </c>
      <c r="E450" s="278">
        <v>190</v>
      </c>
      <c r="F450" s="278">
        <v>160</v>
      </c>
      <c r="G450" s="278">
        <v>549</v>
      </c>
      <c r="H450" s="278">
        <v>56</v>
      </c>
      <c r="I450" s="278">
        <v>167</v>
      </c>
      <c r="J450" s="278">
        <v>122</v>
      </c>
      <c r="K450" s="278">
        <v>332</v>
      </c>
      <c r="L450" s="278">
        <v>4</v>
      </c>
      <c r="M450" s="278">
        <v>21</v>
      </c>
      <c r="N450" s="134">
        <v>1</v>
      </c>
      <c r="O450" s="134">
        <v>0</v>
      </c>
      <c r="P450" s="134">
        <v>0</v>
      </c>
      <c r="Q450" s="134">
        <v>0</v>
      </c>
      <c r="R450" s="278">
        <v>13</v>
      </c>
      <c r="S450" s="278">
        <v>77</v>
      </c>
      <c r="T450" s="278">
        <v>26</v>
      </c>
      <c r="U450" s="278">
        <v>139</v>
      </c>
      <c r="V450" s="278">
        <v>3</v>
      </c>
      <c r="W450" s="278">
        <v>12</v>
      </c>
    </row>
    <row r="451" spans="1:23" ht="72.75" customHeight="1">
      <c r="A451" s="229" t="s">
        <v>477</v>
      </c>
      <c r="B451" s="230" t="s">
        <v>703</v>
      </c>
      <c r="C451" s="267" t="s">
        <v>912</v>
      </c>
      <c r="D451" s="278">
        <v>11</v>
      </c>
      <c r="E451" s="278">
        <v>73</v>
      </c>
      <c r="F451" s="278">
        <v>50</v>
      </c>
      <c r="G451" s="278">
        <v>338</v>
      </c>
      <c r="H451" s="278">
        <v>25</v>
      </c>
      <c r="I451" s="278">
        <v>137</v>
      </c>
      <c r="J451" s="278">
        <v>40</v>
      </c>
      <c r="K451" s="278">
        <v>195</v>
      </c>
      <c r="L451" s="278">
        <v>5</v>
      </c>
      <c r="M451" s="278">
        <v>6</v>
      </c>
      <c r="N451" s="134">
        <v>1</v>
      </c>
      <c r="O451" s="134">
        <v>10</v>
      </c>
      <c r="P451" s="134">
        <v>0</v>
      </c>
      <c r="Q451" s="134">
        <v>0</v>
      </c>
      <c r="R451" s="278">
        <v>2</v>
      </c>
      <c r="S451" s="278">
        <v>11</v>
      </c>
      <c r="T451" s="278">
        <v>8</v>
      </c>
      <c r="U451" s="278">
        <v>49</v>
      </c>
      <c r="V451" s="278">
        <v>3</v>
      </c>
      <c r="W451" s="278">
        <v>32</v>
      </c>
    </row>
    <row r="452" spans="1:23" ht="72.75" customHeight="1">
      <c r="A452" s="229" t="s">
        <v>477</v>
      </c>
      <c r="B452" s="230" t="s">
        <v>365</v>
      </c>
      <c r="C452" s="267" t="s">
        <v>725</v>
      </c>
      <c r="D452" s="278">
        <v>0</v>
      </c>
      <c r="E452" s="278">
        <v>0</v>
      </c>
      <c r="F452" s="278">
        <v>105</v>
      </c>
      <c r="G452" s="278">
        <v>157</v>
      </c>
      <c r="H452" s="278">
        <v>87</v>
      </c>
      <c r="I452" s="278">
        <v>91</v>
      </c>
      <c r="J452" s="278">
        <v>152</v>
      </c>
      <c r="K452" s="278">
        <v>119</v>
      </c>
      <c r="L452" s="278">
        <v>1</v>
      </c>
      <c r="M452" s="278">
        <v>4</v>
      </c>
      <c r="N452" s="136">
        <v>2</v>
      </c>
      <c r="O452" s="136">
        <v>2</v>
      </c>
      <c r="P452" s="136">
        <v>0</v>
      </c>
      <c r="Q452" s="136">
        <v>0</v>
      </c>
      <c r="R452" s="278">
        <v>0</v>
      </c>
      <c r="S452" s="278">
        <v>2</v>
      </c>
      <c r="T452" s="278">
        <v>19</v>
      </c>
      <c r="U452" s="278">
        <v>23</v>
      </c>
      <c r="V452" s="278">
        <v>15</v>
      </c>
      <c r="W452" s="278">
        <v>10</v>
      </c>
    </row>
    <row r="453" spans="1:23" ht="72.75" customHeight="1">
      <c r="A453" s="229" t="s">
        <v>477</v>
      </c>
      <c r="B453" s="230" t="s">
        <v>365</v>
      </c>
      <c r="C453" s="267" t="s">
        <v>777</v>
      </c>
      <c r="D453" s="278">
        <v>8</v>
      </c>
      <c r="E453" s="278">
        <v>4</v>
      </c>
      <c r="F453" s="278">
        <v>116</v>
      </c>
      <c r="G453" s="278">
        <v>134</v>
      </c>
      <c r="H453" s="278">
        <v>74</v>
      </c>
      <c r="I453" s="278">
        <v>88</v>
      </c>
      <c r="J453" s="278">
        <v>603</v>
      </c>
      <c r="K453" s="278">
        <v>184</v>
      </c>
      <c r="L453" s="278">
        <v>8</v>
      </c>
      <c r="M453" s="278">
        <v>4</v>
      </c>
      <c r="N453" s="134">
        <v>3</v>
      </c>
      <c r="O453" s="134">
        <v>2</v>
      </c>
      <c r="P453" s="134">
        <v>0</v>
      </c>
      <c r="Q453" s="134">
        <v>0</v>
      </c>
      <c r="R453" s="278">
        <v>0</v>
      </c>
      <c r="S453" s="278">
        <v>0</v>
      </c>
      <c r="T453" s="278">
        <v>4</v>
      </c>
      <c r="U453" s="278">
        <v>7</v>
      </c>
      <c r="V453" s="278">
        <v>6</v>
      </c>
      <c r="W453" s="278">
        <v>3</v>
      </c>
    </row>
    <row r="454" spans="1:23" ht="72.75" customHeight="1">
      <c r="A454" s="229" t="s">
        <v>477</v>
      </c>
      <c r="B454" s="230" t="s">
        <v>365</v>
      </c>
      <c r="C454" s="267" t="s">
        <v>913</v>
      </c>
      <c r="D454" s="278">
        <v>0</v>
      </c>
      <c r="E454" s="278">
        <v>0</v>
      </c>
      <c r="F454" s="278">
        <v>111</v>
      </c>
      <c r="G454" s="278">
        <v>134</v>
      </c>
      <c r="H454" s="278">
        <v>0</v>
      </c>
      <c r="I454" s="278">
        <v>0</v>
      </c>
      <c r="J454" s="278">
        <v>0</v>
      </c>
      <c r="K454" s="278">
        <v>0</v>
      </c>
      <c r="L454" s="278">
        <v>5</v>
      </c>
      <c r="M454" s="278">
        <v>3</v>
      </c>
      <c r="N454" s="134">
        <v>1</v>
      </c>
      <c r="O454" s="134">
        <v>1</v>
      </c>
      <c r="P454" s="134">
        <v>0</v>
      </c>
      <c r="Q454" s="134">
        <v>0</v>
      </c>
      <c r="R454" s="278">
        <v>0</v>
      </c>
      <c r="S454" s="278">
        <v>0</v>
      </c>
      <c r="T454" s="278">
        <v>0</v>
      </c>
      <c r="U454" s="278">
        <v>0</v>
      </c>
      <c r="V454" s="278">
        <v>0</v>
      </c>
      <c r="W454" s="278">
        <v>0</v>
      </c>
    </row>
    <row r="455" spans="1:23" ht="72.75" customHeight="1">
      <c r="A455" s="229" t="s">
        <v>477</v>
      </c>
      <c r="B455" s="230" t="s">
        <v>365</v>
      </c>
      <c r="C455" s="267" t="s">
        <v>246</v>
      </c>
      <c r="D455" s="278">
        <v>24</v>
      </c>
      <c r="E455" s="278">
        <v>49</v>
      </c>
      <c r="F455" s="278">
        <v>124</v>
      </c>
      <c r="G455" s="278">
        <v>216</v>
      </c>
      <c r="H455" s="278">
        <v>0</v>
      </c>
      <c r="I455" s="278">
        <v>0</v>
      </c>
      <c r="J455" s="278">
        <v>0</v>
      </c>
      <c r="K455" s="278">
        <v>0</v>
      </c>
      <c r="L455" s="278">
        <v>1</v>
      </c>
      <c r="M455" s="278">
        <v>8</v>
      </c>
      <c r="N455" s="134">
        <v>2</v>
      </c>
      <c r="O455" s="134">
        <v>2</v>
      </c>
      <c r="P455" s="134">
        <v>0</v>
      </c>
      <c r="Q455" s="134">
        <v>0</v>
      </c>
      <c r="R455" s="278">
        <v>0</v>
      </c>
      <c r="S455" s="278">
        <v>0</v>
      </c>
      <c r="T455" s="278">
        <v>0</v>
      </c>
      <c r="U455" s="278">
        <v>0</v>
      </c>
      <c r="V455" s="278">
        <v>0</v>
      </c>
      <c r="W455" s="278">
        <v>0</v>
      </c>
    </row>
    <row r="456" spans="1:23" ht="72.75" customHeight="1">
      <c r="A456" s="230" t="s">
        <v>636</v>
      </c>
      <c r="B456" s="230" t="s">
        <v>704</v>
      </c>
      <c r="C456" s="267" t="s">
        <v>257</v>
      </c>
      <c r="D456" s="134">
        <v>201</v>
      </c>
      <c r="E456" s="134">
        <v>156</v>
      </c>
      <c r="F456" s="134">
        <v>759</v>
      </c>
      <c r="G456" s="134">
        <v>611</v>
      </c>
      <c r="H456" s="134">
        <v>185</v>
      </c>
      <c r="I456" s="134">
        <v>79</v>
      </c>
      <c r="J456" s="134">
        <v>1748</v>
      </c>
      <c r="K456" s="134">
        <v>734</v>
      </c>
      <c r="L456" s="134">
        <v>13</v>
      </c>
      <c r="M456" s="134">
        <v>3</v>
      </c>
      <c r="N456" s="134">
        <v>3</v>
      </c>
      <c r="O456" s="134">
        <v>2</v>
      </c>
      <c r="P456" s="174"/>
      <c r="Q456" s="174"/>
      <c r="R456" s="134">
        <v>36</v>
      </c>
      <c r="S456" s="134">
        <v>37</v>
      </c>
      <c r="T456" s="134">
        <v>74</v>
      </c>
      <c r="U456" s="134">
        <v>59</v>
      </c>
      <c r="V456" s="134">
        <v>17</v>
      </c>
      <c r="W456" s="134">
        <v>8</v>
      </c>
    </row>
    <row r="457" spans="1:23" ht="72.75" customHeight="1">
      <c r="A457" s="230" t="s">
        <v>636</v>
      </c>
      <c r="B457" s="230" t="s">
        <v>704</v>
      </c>
      <c r="C457" s="267" t="s">
        <v>259</v>
      </c>
      <c r="D457" s="134">
        <v>182</v>
      </c>
      <c r="E457" s="134">
        <v>156</v>
      </c>
      <c r="F457" s="134">
        <v>766</v>
      </c>
      <c r="G457" s="134">
        <v>702</v>
      </c>
      <c r="H457" s="134">
        <v>217</v>
      </c>
      <c r="I457" s="134">
        <v>121</v>
      </c>
      <c r="J457" s="134">
        <v>3380</v>
      </c>
      <c r="K457" s="134">
        <v>1741</v>
      </c>
      <c r="L457" s="134">
        <v>14</v>
      </c>
      <c r="M457" s="136">
        <v>10</v>
      </c>
      <c r="N457" s="136">
        <v>8</v>
      </c>
      <c r="O457" s="136">
        <v>1</v>
      </c>
      <c r="P457" s="136">
        <v>1</v>
      </c>
      <c r="Q457" s="136">
        <v>0</v>
      </c>
      <c r="R457" s="136">
        <v>34</v>
      </c>
      <c r="S457" s="136">
        <v>46</v>
      </c>
      <c r="T457" s="136">
        <v>75</v>
      </c>
      <c r="U457" s="136">
        <v>64</v>
      </c>
      <c r="V457" s="136">
        <v>29</v>
      </c>
      <c r="W457" s="136">
        <v>14</v>
      </c>
    </row>
    <row r="458" spans="1:23" ht="72.75" customHeight="1">
      <c r="A458" s="230" t="s">
        <v>636</v>
      </c>
      <c r="B458" s="256" t="s">
        <v>704</v>
      </c>
      <c r="C458" s="288" t="s">
        <v>685</v>
      </c>
      <c r="D458" s="134">
        <v>42</v>
      </c>
      <c r="E458" s="134">
        <v>111</v>
      </c>
      <c r="F458" s="134">
        <v>156</v>
      </c>
      <c r="G458" s="134">
        <v>377</v>
      </c>
      <c r="H458" s="134">
        <v>55</v>
      </c>
      <c r="I458" s="134">
        <v>99</v>
      </c>
      <c r="J458" s="134">
        <v>153</v>
      </c>
      <c r="K458" s="134">
        <v>283</v>
      </c>
      <c r="L458" s="134">
        <v>3</v>
      </c>
      <c r="M458" s="136">
        <v>12</v>
      </c>
      <c r="N458" s="136">
        <v>0</v>
      </c>
      <c r="O458" s="136">
        <v>2</v>
      </c>
      <c r="P458" s="136">
        <v>0</v>
      </c>
      <c r="Q458" s="136">
        <v>0</v>
      </c>
      <c r="R458" s="136">
        <v>24</v>
      </c>
      <c r="S458" s="134">
        <v>70</v>
      </c>
      <c r="T458" s="134">
        <v>31</v>
      </c>
      <c r="U458" s="134">
        <v>84</v>
      </c>
      <c r="V458" s="134">
        <v>1</v>
      </c>
      <c r="W458" s="134">
        <v>3</v>
      </c>
    </row>
    <row r="459" spans="1:23" ht="72.75" customHeight="1">
      <c r="A459" s="230" t="s">
        <v>636</v>
      </c>
      <c r="B459" s="256" t="s">
        <v>704</v>
      </c>
      <c r="C459" s="229" t="s">
        <v>781</v>
      </c>
      <c r="D459" s="134">
        <v>41</v>
      </c>
      <c r="E459" s="134">
        <v>59</v>
      </c>
      <c r="F459" s="134">
        <v>118</v>
      </c>
      <c r="G459" s="134">
        <v>198</v>
      </c>
      <c r="H459" s="134">
        <v>50</v>
      </c>
      <c r="I459" s="134">
        <v>25</v>
      </c>
      <c r="J459" s="134">
        <v>0</v>
      </c>
      <c r="K459" s="134">
        <v>0</v>
      </c>
      <c r="L459" s="134">
        <v>1</v>
      </c>
      <c r="M459" s="136">
        <v>2</v>
      </c>
      <c r="N459" s="174"/>
      <c r="O459" s="136">
        <v>1</v>
      </c>
      <c r="P459" s="136">
        <v>0</v>
      </c>
      <c r="Q459" s="136">
        <v>0</v>
      </c>
      <c r="R459" s="134">
        <v>18</v>
      </c>
      <c r="S459" s="136">
        <v>34</v>
      </c>
      <c r="T459" s="136">
        <v>12</v>
      </c>
      <c r="U459" s="136">
        <v>13</v>
      </c>
      <c r="V459" s="134">
        <v>0</v>
      </c>
      <c r="W459" s="134">
        <v>0</v>
      </c>
    </row>
    <row r="460" spans="1:23" ht="72.75" customHeight="1">
      <c r="A460" s="230" t="s">
        <v>636</v>
      </c>
      <c r="B460" s="230" t="s">
        <v>705</v>
      </c>
      <c r="C460" s="229" t="s">
        <v>782</v>
      </c>
      <c r="D460" s="279">
        <v>129</v>
      </c>
      <c r="E460" s="279">
        <v>148</v>
      </c>
      <c r="F460" s="279">
        <v>553</v>
      </c>
      <c r="G460" s="279">
        <v>537</v>
      </c>
      <c r="H460" s="279">
        <v>125</v>
      </c>
      <c r="I460" s="279">
        <v>70</v>
      </c>
      <c r="J460" s="279">
        <v>250</v>
      </c>
      <c r="K460" s="279">
        <v>206</v>
      </c>
      <c r="L460" s="279">
        <v>9</v>
      </c>
      <c r="M460" s="279">
        <v>2</v>
      </c>
      <c r="N460" s="279">
        <v>2</v>
      </c>
      <c r="O460" s="235"/>
      <c r="P460" s="235"/>
      <c r="Q460" s="279">
        <v>1</v>
      </c>
      <c r="R460" s="279">
        <v>55</v>
      </c>
      <c r="S460" s="279">
        <v>61</v>
      </c>
      <c r="T460" s="279">
        <v>60</v>
      </c>
      <c r="U460" s="279">
        <v>33</v>
      </c>
      <c r="V460" s="279">
        <v>7</v>
      </c>
      <c r="W460" s="279">
        <v>1</v>
      </c>
    </row>
    <row r="461" spans="1:23" ht="72.75" customHeight="1">
      <c r="A461" s="230" t="s">
        <v>636</v>
      </c>
      <c r="B461" s="230" t="s">
        <v>705</v>
      </c>
      <c r="C461" s="229" t="s">
        <v>783</v>
      </c>
      <c r="D461" s="134">
        <v>137</v>
      </c>
      <c r="E461" s="134">
        <v>69</v>
      </c>
      <c r="F461" s="134">
        <v>392</v>
      </c>
      <c r="G461" s="134">
        <v>220</v>
      </c>
      <c r="H461" s="134">
        <v>560</v>
      </c>
      <c r="I461" s="134">
        <v>320</v>
      </c>
      <c r="J461" s="134">
        <v>225</v>
      </c>
      <c r="K461" s="134">
        <v>120</v>
      </c>
      <c r="L461" s="134">
        <v>16</v>
      </c>
      <c r="M461" s="134">
        <v>8</v>
      </c>
      <c r="N461" s="134">
        <v>5</v>
      </c>
      <c r="O461" s="134">
        <v>0</v>
      </c>
      <c r="P461" s="134">
        <v>0</v>
      </c>
      <c r="Q461" s="134">
        <v>0</v>
      </c>
      <c r="R461" s="134">
        <v>12</v>
      </c>
      <c r="S461" s="134">
        <v>4</v>
      </c>
      <c r="T461" s="134">
        <v>39</v>
      </c>
      <c r="U461" s="134">
        <v>32</v>
      </c>
      <c r="V461" s="134">
        <v>22</v>
      </c>
      <c r="W461" s="134">
        <v>11</v>
      </c>
    </row>
    <row r="462" spans="1:23" ht="72.75" customHeight="1">
      <c r="A462" s="230" t="s">
        <v>636</v>
      </c>
      <c r="B462" s="230" t="s">
        <v>706</v>
      </c>
      <c r="C462" s="229" t="s">
        <v>784</v>
      </c>
      <c r="D462" s="134">
        <v>117</v>
      </c>
      <c r="E462" s="134">
        <v>67</v>
      </c>
      <c r="F462" s="134">
        <v>502</v>
      </c>
      <c r="G462" s="134">
        <v>291</v>
      </c>
      <c r="H462" s="134">
        <v>152</v>
      </c>
      <c r="I462" s="134">
        <v>85</v>
      </c>
      <c r="J462" s="134">
        <v>407</v>
      </c>
      <c r="K462" s="134">
        <v>208</v>
      </c>
      <c r="L462" s="134">
        <v>8</v>
      </c>
      <c r="M462" s="136">
        <v>4</v>
      </c>
      <c r="N462" s="136">
        <v>6</v>
      </c>
      <c r="O462" s="136">
        <v>0</v>
      </c>
      <c r="P462" s="136">
        <v>0</v>
      </c>
      <c r="Q462" s="136">
        <v>0</v>
      </c>
      <c r="R462" s="134">
        <v>32</v>
      </c>
      <c r="S462" s="134">
        <v>25</v>
      </c>
      <c r="T462" s="134">
        <v>66</v>
      </c>
      <c r="U462" s="134">
        <v>41</v>
      </c>
      <c r="V462" s="134">
        <v>16</v>
      </c>
      <c r="W462" s="134">
        <v>5</v>
      </c>
    </row>
    <row r="463" spans="1:23" ht="72.75" customHeight="1">
      <c r="A463" s="230" t="s">
        <v>636</v>
      </c>
      <c r="B463" s="230" t="s">
        <v>706</v>
      </c>
      <c r="C463" s="229" t="s">
        <v>785</v>
      </c>
      <c r="D463" s="134">
        <v>114</v>
      </c>
      <c r="E463" s="134">
        <v>76</v>
      </c>
      <c r="F463" s="134">
        <v>507</v>
      </c>
      <c r="G463" s="134">
        <v>392</v>
      </c>
      <c r="H463" s="134">
        <v>150</v>
      </c>
      <c r="I463" s="134">
        <v>98</v>
      </c>
      <c r="J463" s="134">
        <v>1105</v>
      </c>
      <c r="K463" s="134">
        <v>753</v>
      </c>
      <c r="L463" s="134">
        <v>15</v>
      </c>
      <c r="M463" s="136">
        <v>11</v>
      </c>
      <c r="N463" s="136">
        <v>3</v>
      </c>
      <c r="O463" s="136">
        <v>3</v>
      </c>
      <c r="P463" s="136">
        <v>0</v>
      </c>
      <c r="Q463" s="136">
        <v>0</v>
      </c>
      <c r="R463" s="136">
        <v>11</v>
      </c>
      <c r="S463" s="136">
        <v>11</v>
      </c>
      <c r="T463" s="136">
        <v>48</v>
      </c>
      <c r="U463" s="136">
        <v>58</v>
      </c>
      <c r="V463" s="136">
        <v>38</v>
      </c>
      <c r="W463" s="136">
        <v>33</v>
      </c>
    </row>
    <row r="464" spans="1:23" ht="72.75" customHeight="1">
      <c r="A464" s="230" t="s">
        <v>636</v>
      </c>
      <c r="B464" s="230" t="s">
        <v>707</v>
      </c>
      <c r="C464" s="229" t="s">
        <v>33</v>
      </c>
      <c r="D464" s="134">
        <v>195</v>
      </c>
      <c r="E464" s="134">
        <v>56</v>
      </c>
      <c r="F464" s="134">
        <v>719</v>
      </c>
      <c r="G464" s="134">
        <v>184</v>
      </c>
      <c r="H464" s="134">
        <v>412</v>
      </c>
      <c r="I464" s="134">
        <v>76</v>
      </c>
      <c r="J464" s="134">
        <v>162</v>
      </c>
      <c r="K464" s="134">
        <v>34</v>
      </c>
      <c r="L464" s="134">
        <v>19</v>
      </c>
      <c r="M464" s="136">
        <v>8</v>
      </c>
      <c r="N464" s="136">
        <v>3</v>
      </c>
      <c r="O464" s="136">
        <v>2</v>
      </c>
      <c r="P464" s="174"/>
      <c r="Q464" s="174"/>
      <c r="R464" s="136">
        <v>22</v>
      </c>
      <c r="S464" s="136">
        <v>6</v>
      </c>
      <c r="T464" s="136">
        <v>47</v>
      </c>
      <c r="U464" s="136">
        <v>15</v>
      </c>
      <c r="V464" s="136">
        <v>13</v>
      </c>
      <c r="W464" s="136">
        <v>7</v>
      </c>
    </row>
    <row r="465" spans="1:23" ht="72.75" customHeight="1">
      <c r="A465" s="230" t="s">
        <v>636</v>
      </c>
      <c r="B465" s="230" t="s">
        <v>707</v>
      </c>
      <c r="C465" s="229" t="s">
        <v>786</v>
      </c>
      <c r="D465" s="134">
        <v>148</v>
      </c>
      <c r="E465" s="134">
        <v>48</v>
      </c>
      <c r="F465" s="134">
        <v>625</v>
      </c>
      <c r="G465" s="134">
        <v>158</v>
      </c>
      <c r="H465" s="134">
        <v>212</v>
      </c>
      <c r="I465" s="134">
        <v>39</v>
      </c>
      <c r="J465" s="134">
        <v>961</v>
      </c>
      <c r="K465" s="134">
        <v>231</v>
      </c>
      <c r="L465" s="134">
        <v>26</v>
      </c>
      <c r="M465" s="136">
        <v>4</v>
      </c>
      <c r="N465" s="136">
        <v>11</v>
      </c>
      <c r="O465" s="136">
        <v>1</v>
      </c>
      <c r="P465" s="136">
        <v>1</v>
      </c>
      <c r="Q465" s="136">
        <v>0</v>
      </c>
      <c r="R465" s="136">
        <v>8</v>
      </c>
      <c r="S465" s="136">
        <v>5</v>
      </c>
      <c r="T465" s="136">
        <v>19</v>
      </c>
      <c r="U465" s="136">
        <v>9</v>
      </c>
      <c r="V465" s="136">
        <v>35</v>
      </c>
      <c r="W465" s="136">
        <v>6</v>
      </c>
    </row>
    <row r="466" spans="1:23" ht="72.75" customHeight="1">
      <c r="A466" s="195" t="s">
        <v>634</v>
      </c>
      <c r="B466" s="230" t="s">
        <v>708</v>
      </c>
      <c r="C466" s="229" t="s">
        <v>58</v>
      </c>
      <c r="D466" s="134">
        <v>41</v>
      </c>
      <c r="E466" s="134">
        <v>60</v>
      </c>
      <c r="F466" s="134">
        <v>60</v>
      </c>
      <c r="G466" s="134">
        <v>80</v>
      </c>
      <c r="H466" s="134">
        <v>109</v>
      </c>
      <c r="I466" s="134">
        <v>112</v>
      </c>
      <c r="J466" s="134">
        <v>130</v>
      </c>
      <c r="K466" s="134">
        <v>81</v>
      </c>
      <c r="L466" s="134">
        <v>13</v>
      </c>
      <c r="M466" s="136">
        <v>18</v>
      </c>
      <c r="N466" s="136">
        <v>0</v>
      </c>
      <c r="O466" s="136">
        <v>1</v>
      </c>
      <c r="P466" s="136">
        <v>1</v>
      </c>
      <c r="Q466" s="136">
        <v>0</v>
      </c>
      <c r="R466" s="134">
        <v>0</v>
      </c>
      <c r="S466" s="134">
        <v>0</v>
      </c>
      <c r="T466" s="134">
        <v>23</v>
      </c>
      <c r="U466" s="134">
        <v>11</v>
      </c>
      <c r="V466" s="134">
        <v>21</v>
      </c>
      <c r="W466" s="134">
        <v>16</v>
      </c>
    </row>
    <row r="467" spans="1:23" ht="72.75" customHeight="1">
      <c r="A467" s="195" t="s">
        <v>634</v>
      </c>
      <c r="B467" s="257" t="s">
        <v>709</v>
      </c>
      <c r="C467" s="229" t="s">
        <v>787</v>
      </c>
      <c r="D467" s="134">
        <v>116</v>
      </c>
      <c r="E467" s="134">
        <v>97</v>
      </c>
      <c r="F467" s="134">
        <v>523</v>
      </c>
      <c r="G467" s="134">
        <v>429</v>
      </c>
      <c r="H467" s="134">
        <v>224</v>
      </c>
      <c r="I467" s="134">
        <v>198</v>
      </c>
      <c r="J467" s="134">
        <v>611</v>
      </c>
      <c r="K467" s="134">
        <v>682</v>
      </c>
      <c r="L467" s="134">
        <v>27</v>
      </c>
      <c r="M467" s="136">
        <v>29</v>
      </c>
      <c r="N467" s="136">
        <v>11</v>
      </c>
      <c r="O467" s="136">
        <v>3</v>
      </c>
      <c r="P467" s="136">
        <v>1</v>
      </c>
      <c r="Q467" s="136">
        <v>0</v>
      </c>
      <c r="R467" s="134">
        <v>3</v>
      </c>
      <c r="S467" s="134">
        <v>5</v>
      </c>
      <c r="T467" s="134">
        <v>39</v>
      </c>
      <c r="U467" s="134">
        <v>59</v>
      </c>
      <c r="V467" s="134">
        <v>30</v>
      </c>
      <c r="W467" s="134">
        <v>43</v>
      </c>
    </row>
    <row r="468" spans="1:23" ht="72.75" customHeight="1">
      <c r="A468" s="195" t="s">
        <v>634</v>
      </c>
      <c r="B468" s="257" t="s">
        <v>710</v>
      </c>
      <c r="C468" s="229" t="s">
        <v>788</v>
      </c>
      <c r="D468" s="134">
        <v>96</v>
      </c>
      <c r="E468" s="134">
        <v>44</v>
      </c>
      <c r="F468" s="134">
        <v>288</v>
      </c>
      <c r="G468" s="134">
        <v>129</v>
      </c>
      <c r="H468" s="134">
        <v>0</v>
      </c>
      <c r="I468" s="134">
        <v>0</v>
      </c>
      <c r="J468" s="134">
        <v>0</v>
      </c>
      <c r="K468" s="134">
        <v>0</v>
      </c>
      <c r="L468" s="134">
        <v>27</v>
      </c>
      <c r="M468" s="136">
        <v>17</v>
      </c>
      <c r="N468" s="136">
        <v>0</v>
      </c>
      <c r="O468" s="136">
        <v>0</v>
      </c>
      <c r="P468" s="136">
        <v>0</v>
      </c>
      <c r="Q468" s="136">
        <v>0</v>
      </c>
      <c r="R468" s="134">
        <v>16</v>
      </c>
      <c r="S468" s="134">
        <v>16</v>
      </c>
      <c r="T468" s="134">
        <v>0</v>
      </c>
      <c r="U468" s="134">
        <v>0</v>
      </c>
      <c r="V468" s="134">
        <v>0</v>
      </c>
      <c r="W468" s="134">
        <v>0</v>
      </c>
    </row>
    <row r="469" spans="1:23" ht="72.75" customHeight="1">
      <c r="A469" s="195" t="s">
        <v>634</v>
      </c>
      <c r="B469" s="257" t="s">
        <v>144</v>
      </c>
      <c r="C469" s="229" t="s">
        <v>789</v>
      </c>
      <c r="D469" s="134">
        <v>35</v>
      </c>
      <c r="E469" s="134">
        <v>91</v>
      </c>
      <c r="F469" s="134">
        <v>111</v>
      </c>
      <c r="G469" s="134">
        <v>350</v>
      </c>
      <c r="H469" s="134">
        <v>0</v>
      </c>
      <c r="I469" s="134">
        <v>0</v>
      </c>
      <c r="J469" s="134">
        <v>0</v>
      </c>
      <c r="K469" s="134">
        <v>0</v>
      </c>
      <c r="L469" s="134">
        <v>8</v>
      </c>
      <c r="M469" s="136">
        <v>29</v>
      </c>
      <c r="N469" s="136">
        <v>1</v>
      </c>
      <c r="O469" s="136">
        <v>9</v>
      </c>
      <c r="P469" s="136">
        <v>0</v>
      </c>
      <c r="Q469" s="136">
        <v>0</v>
      </c>
      <c r="R469" s="134">
        <v>0</v>
      </c>
      <c r="S469" s="134">
        <v>15</v>
      </c>
      <c r="T469" s="134">
        <v>0</v>
      </c>
      <c r="U469" s="134">
        <v>0</v>
      </c>
      <c r="V469" s="134">
        <v>0</v>
      </c>
      <c r="W469" s="134">
        <v>0</v>
      </c>
    </row>
    <row r="470" spans="1:23" ht="72.75" customHeight="1">
      <c r="A470" s="195" t="s">
        <v>634</v>
      </c>
      <c r="B470" s="257" t="s">
        <v>708</v>
      </c>
      <c r="C470" s="229" t="s">
        <v>790</v>
      </c>
      <c r="D470" s="134">
        <v>48</v>
      </c>
      <c r="E470" s="134">
        <v>110</v>
      </c>
      <c r="F470" s="134">
        <v>80</v>
      </c>
      <c r="G470" s="134">
        <v>247</v>
      </c>
      <c r="H470" s="134">
        <v>53</v>
      </c>
      <c r="I470" s="134">
        <v>83</v>
      </c>
      <c r="J470" s="134">
        <v>111</v>
      </c>
      <c r="K470" s="134">
        <v>129</v>
      </c>
      <c r="L470" s="134">
        <v>9</v>
      </c>
      <c r="M470" s="136">
        <v>34</v>
      </c>
      <c r="N470" s="136">
        <v>1</v>
      </c>
      <c r="O470" s="136">
        <v>3</v>
      </c>
      <c r="P470" s="136">
        <v>1</v>
      </c>
      <c r="Q470" s="136">
        <v>1</v>
      </c>
      <c r="R470" s="134">
        <v>0</v>
      </c>
      <c r="S470" s="134">
        <v>0</v>
      </c>
      <c r="T470" s="134">
        <v>14</v>
      </c>
      <c r="U470" s="134">
        <v>53</v>
      </c>
      <c r="V470" s="134">
        <v>47</v>
      </c>
      <c r="W470" s="134">
        <v>96</v>
      </c>
    </row>
    <row r="471" spans="1:23" ht="72.75" customHeight="1">
      <c r="A471" s="195" t="s">
        <v>634</v>
      </c>
      <c r="B471" s="257" t="s">
        <v>270</v>
      </c>
      <c r="C471" s="229" t="s">
        <v>791</v>
      </c>
      <c r="D471" s="134">
        <v>201</v>
      </c>
      <c r="E471" s="134">
        <v>33</v>
      </c>
      <c r="F471" s="134">
        <v>628</v>
      </c>
      <c r="G471" s="134">
        <v>105</v>
      </c>
      <c r="H471" s="134">
        <v>433</v>
      </c>
      <c r="I471" s="134">
        <v>64</v>
      </c>
      <c r="J471" s="134">
        <v>1559</v>
      </c>
      <c r="K471" s="134">
        <v>216</v>
      </c>
      <c r="L471" s="134">
        <v>40</v>
      </c>
      <c r="M471" s="136">
        <v>9</v>
      </c>
      <c r="N471" s="136">
        <v>5</v>
      </c>
      <c r="O471" s="136">
        <v>0</v>
      </c>
      <c r="P471" s="136">
        <v>0</v>
      </c>
      <c r="Q471" s="136">
        <v>1</v>
      </c>
      <c r="R471" s="134">
        <v>18</v>
      </c>
      <c r="S471" s="134">
        <v>4</v>
      </c>
      <c r="T471" s="134">
        <v>46</v>
      </c>
      <c r="U471" s="134">
        <v>7</v>
      </c>
      <c r="V471" s="134">
        <v>82</v>
      </c>
      <c r="W471" s="134">
        <v>7</v>
      </c>
    </row>
    <row r="472" spans="1:23" ht="72.75" customHeight="1">
      <c r="A472" s="195" t="s">
        <v>634</v>
      </c>
      <c r="B472" s="257" t="s">
        <v>337</v>
      </c>
      <c r="C472" s="229" t="s">
        <v>792</v>
      </c>
      <c r="D472" s="134">
        <v>20</v>
      </c>
      <c r="E472" s="134">
        <v>61</v>
      </c>
      <c r="F472" s="134">
        <v>73</v>
      </c>
      <c r="G472" s="134">
        <v>365</v>
      </c>
      <c r="H472" s="134">
        <v>33</v>
      </c>
      <c r="I472" s="134">
        <v>122</v>
      </c>
      <c r="J472" s="134">
        <v>92</v>
      </c>
      <c r="K472" s="134">
        <v>295</v>
      </c>
      <c r="L472" s="134">
        <v>8</v>
      </c>
      <c r="M472" s="136">
        <v>27</v>
      </c>
      <c r="N472" s="136">
        <v>1</v>
      </c>
      <c r="O472" s="136">
        <v>1</v>
      </c>
      <c r="P472" s="136">
        <v>0</v>
      </c>
      <c r="Q472" s="136">
        <v>0</v>
      </c>
      <c r="R472" s="134">
        <v>1</v>
      </c>
      <c r="S472" s="134">
        <v>3</v>
      </c>
      <c r="T472" s="134">
        <v>2</v>
      </c>
      <c r="U472" s="134">
        <v>20</v>
      </c>
      <c r="V472" s="134">
        <v>2</v>
      </c>
      <c r="W472" s="134">
        <v>13</v>
      </c>
    </row>
    <row r="473" spans="1:23" ht="72.75" customHeight="1">
      <c r="A473" s="195" t="s">
        <v>634</v>
      </c>
      <c r="B473" s="257" t="s">
        <v>711</v>
      </c>
      <c r="C473" s="271" t="s">
        <v>917</v>
      </c>
      <c r="D473" s="134">
        <v>28</v>
      </c>
      <c r="E473" s="134">
        <v>33</v>
      </c>
      <c r="F473" s="134">
        <v>156</v>
      </c>
      <c r="G473" s="134">
        <v>235</v>
      </c>
      <c r="H473" s="134">
        <v>49</v>
      </c>
      <c r="I473" s="134">
        <v>80</v>
      </c>
      <c r="J473" s="134">
        <v>96</v>
      </c>
      <c r="K473" s="134">
        <v>200</v>
      </c>
      <c r="L473" s="134">
        <v>14</v>
      </c>
      <c r="M473" s="136">
        <v>6</v>
      </c>
      <c r="N473" s="136">
        <v>0</v>
      </c>
      <c r="O473" s="136">
        <v>0</v>
      </c>
      <c r="P473" s="136">
        <v>0</v>
      </c>
      <c r="Q473" s="136">
        <v>0</v>
      </c>
      <c r="R473" s="134">
        <v>0</v>
      </c>
      <c r="S473" s="134">
        <v>0</v>
      </c>
      <c r="T473" s="134">
        <v>25</v>
      </c>
      <c r="U473" s="134">
        <v>39</v>
      </c>
      <c r="V473" s="134">
        <v>9</v>
      </c>
      <c r="W473" s="134">
        <v>28</v>
      </c>
    </row>
    <row r="474" spans="1:23" ht="72.75" customHeight="1">
      <c r="A474" s="195" t="s">
        <v>634</v>
      </c>
      <c r="B474" s="257" t="s">
        <v>712</v>
      </c>
      <c r="C474" s="229" t="s">
        <v>793</v>
      </c>
      <c r="D474" s="134">
        <v>12</v>
      </c>
      <c r="E474" s="134">
        <v>50</v>
      </c>
      <c r="F474" s="134">
        <v>69</v>
      </c>
      <c r="G474" s="134">
        <v>268</v>
      </c>
      <c r="H474" s="134">
        <v>19</v>
      </c>
      <c r="I474" s="134">
        <v>45</v>
      </c>
      <c r="J474" s="134">
        <v>80</v>
      </c>
      <c r="K474" s="134">
        <v>187</v>
      </c>
      <c r="L474" s="134">
        <v>4</v>
      </c>
      <c r="M474" s="136">
        <v>25</v>
      </c>
      <c r="N474" s="136">
        <v>0</v>
      </c>
      <c r="O474" s="136">
        <v>1</v>
      </c>
      <c r="P474" s="136">
        <v>1</v>
      </c>
      <c r="Q474" s="136">
        <v>2</v>
      </c>
      <c r="R474" s="134">
        <v>4</v>
      </c>
      <c r="S474" s="134">
        <v>22</v>
      </c>
      <c r="T474" s="134">
        <v>2</v>
      </c>
      <c r="U474" s="134">
        <v>24</v>
      </c>
      <c r="V474" s="134">
        <v>2</v>
      </c>
      <c r="W474" s="134">
        <v>11</v>
      </c>
    </row>
    <row r="475" spans="1:23" ht="72.75" customHeight="1">
      <c r="A475" s="195" t="s">
        <v>634</v>
      </c>
      <c r="B475" s="257" t="s">
        <v>709</v>
      </c>
      <c r="C475" s="229" t="s">
        <v>684</v>
      </c>
      <c r="D475" s="134">
        <v>112</v>
      </c>
      <c r="E475" s="134">
        <v>83</v>
      </c>
      <c r="F475" s="134">
        <v>356</v>
      </c>
      <c r="G475" s="134">
        <v>300</v>
      </c>
      <c r="H475" s="134">
        <v>100</v>
      </c>
      <c r="I475" s="134">
        <v>84</v>
      </c>
      <c r="J475" s="134">
        <v>171</v>
      </c>
      <c r="K475" s="134">
        <v>137</v>
      </c>
      <c r="L475" s="134">
        <v>22</v>
      </c>
      <c r="M475" s="136">
        <v>18</v>
      </c>
      <c r="N475" s="136">
        <v>2</v>
      </c>
      <c r="O475" s="136">
        <v>1</v>
      </c>
      <c r="P475" s="136">
        <v>0</v>
      </c>
      <c r="Q475" s="136">
        <v>1</v>
      </c>
      <c r="R475" s="134">
        <v>0</v>
      </c>
      <c r="S475" s="134">
        <v>6</v>
      </c>
      <c r="T475" s="134">
        <v>24</v>
      </c>
      <c r="U475" s="134">
        <v>29</v>
      </c>
      <c r="V475" s="134">
        <v>17</v>
      </c>
      <c r="W475" s="134">
        <v>19</v>
      </c>
    </row>
    <row r="476" spans="1:23" ht="72.75" customHeight="1">
      <c r="A476" s="195" t="s">
        <v>634</v>
      </c>
      <c r="B476" s="257" t="s">
        <v>144</v>
      </c>
      <c r="C476" s="229" t="s">
        <v>794</v>
      </c>
      <c r="D476" s="134">
        <v>13</v>
      </c>
      <c r="E476" s="134">
        <v>64</v>
      </c>
      <c r="F476" s="134">
        <v>50</v>
      </c>
      <c r="G476" s="134">
        <v>273</v>
      </c>
      <c r="H476" s="134">
        <v>13</v>
      </c>
      <c r="I476" s="134">
        <v>31</v>
      </c>
      <c r="J476" s="134">
        <v>9</v>
      </c>
      <c r="K476" s="134">
        <v>16</v>
      </c>
      <c r="L476" s="134">
        <v>9</v>
      </c>
      <c r="M476" s="136">
        <v>27</v>
      </c>
      <c r="N476" s="136">
        <v>3</v>
      </c>
      <c r="O476" s="136">
        <v>1</v>
      </c>
      <c r="P476" s="136">
        <v>0</v>
      </c>
      <c r="Q476" s="136">
        <v>0</v>
      </c>
      <c r="R476" s="134">
        <v>2</v>
      </c>
      <c r="S476" s="134">
        <v>9</v>
      </c>
      <c r="T476" s="134">
        <v>9</v>
      </c>
      <c r="U476" s="134">
        <v>60</v>
      </c>
      <c r="V476" s="134">
        <v>0</v>
      </c>
      <c r="W476" s="134">
        <v>2</v>
      </c>
    </row>
    <row r="477" spans="1:23" ht="72.75" customHeight="1">
      <c r="A477" s="195" t="s">
        <v>634</v>
      </c>
      <c r="B477" s="257" t="s">
        <v>270</v>
      </c>
      <c r="C477" s="229" t="s">
        <v>535</v>
      </c>
      <c r="D477" s="134">
        <v>136</v>
      </c>
      <c r="E477" s="134">
        <v>29</v>
      </c>
      <c r="F477" s="134">
        <v>387</v>
      </c>
      <c r="G477" s="134">
        <v>65</v>
      </c>
      <c r="H477" s="134">
        <v>215</v>
      </c>
      <c r="I477" s="134">
        <v>13</v>
      </c>
      <c r="J477" s="134">
        <v>629</v>
      </c>
      <c r="K477" s="134">
        <v>54</v>
      </c>
      <c r="L477" s="134">
        <v>60</v>
      </c>
      <c r="M477" s="136">
        <v>11</v>
      </c>
      <c r="N477" s="136">
        <v>3</v>
      </c>
      <c r="O477" s="136">
        <v>0</v>
      </c>
      <c r="P477" s="136">
        <v>0</v>
      </c>
      <c r="Q477" s="136">
        <v>0</v>
      </c>
      <c r="R477" s="134">
        <v>14</v>
      </c>
      <c r="S477" s="134">
        <v>6</v>
      </c>
      <c r="T477" s="134">
        <v>28</v>
      </c>
      <c r="U477" s="134">
        <v>2</v>
      </c>
      <c r="V477" s="134">
        <v>40</v>
      </c>
      <c r="W477" s="134">
        <v>1</v>
      </c>
    </row>
    <row r="478" spans="1:23" ht="72.75" customHeight="1">
      <c r="A478" s="195" t="s">
        <v>634</v>
      </c>
      <c r="B478" s="257" t="s">
        <v>144</v>
      </c>
      <c r="C478" s="229" t="s">
        <v>288</v>
      </c>
      <c r="D478" s="134">
        <v>35</v>
      </c>
      <c r="E478" s="134">
        <v>80</v>
      </c>
      <c r="F478" s="134">
        <v>67</v>
      </c>
      <c r="G478" s="134">
        <v>230</v>
      </c>
      <c r="H478" s="134">
        <v>7</v>
      </c>
      <c r="I478" s="134">
        <v>45</v>
      </c>
      <c r="J478" s="134">
        <v>33</v>
      </c>
      <c r="K478" s="134">
        <v>88</v>
      </c>
      <c r="L478" s="134">
        <v>25</v>
      </c>
      <c r="M478" s="136">
        <v>54</v>
      </c>
      <c r="N478" s="136">
        <v>1</v>
      </c>
      <c r="O478" s="136">
        <v>3</v>
      </c>
      <c r="P478" s="136">
        <v>0</v>
      </c>
      <c r="Q478" s="136">
        <v>0</v>
      </c>
      <c r="R478" s="134">
        <v>0</v>
      </c>
      <c r="S478" s="134">
        <v>9</v>
      </c>
      <c r="T478" s="134">
        <v>2</v>
      </c>
      <c r="U478" s="134">
        <v>28</v>
      </c>
      <c r="V478" s="134">
        <v>0</v>
      </c>
      <c r="W478" s="134">
        <v>0</v>
      </c>
    </row>
    <row r="479" spans="1:23" ht="72.75" customHeight="1">
      <c r="A479" s="195" t="s">
        <v>634</v>
      </c>
      <c r="B479" s="257" t="s">
        <v>710</v>
      </c>
      <c r="C479" s="229" t="s">
        <v>682</v>
      </c>
      <c r="D479" s="134">
        <v>113</v>
      </c>
      <c r="E479" s="134">
        <v>76</v>
      </c>
      <c r="F479" s="134">
        <v>271</v>
      </c>
      <c r="G479" s="134">
        <v>188</v>
      </c>
      <c r="H479" s="134">
        <v>76</v>
      </c>
      <c r="I479" s="134">
        <v>31</v>
      </c>
      <c r="J479" s="134">
        <v>124</v>
      </c>
      <c r="K479" s="134">
        <v>63</v>
      </c>
      <c r="L479" s="134">
        <v>66</v>
      </c>
      <c r="M479" s="136">
        <v>51</v>
      </c>
      <c r="N479" s="136">
        <v>0</v>
      </c>
      <c r="O479" s="136">
        <v>0</v>
      </c>
      <c r="P479" s="136">
        <v>0</v>
      </c>
      <c r="Q479" s="136">
        <v>0</v>
      </c>
      <c r="R479" s="134">
        <v>2</v>
      </c>
      <c r="S479" s="134">
        <v>3</v>
      </c>
      <c r="T479" s="134">
        <v>33</v>
      </c>
      <c r="U479" s="134">
        <v>18</v>
      </c>
      <c r="V479" s="134">
        <v>9</v>
      </c>
      <c r="W479" s="134">
        <v>2</v>
      </c>
    </row>
    <row r="480" spans="1:23" ht="72.75" customHeight="1">
      <c r="A480" s="195" t="s">
        <v>634</v>
      </c>
      <c r="B480" s="257" t="s">
        <v>713</v>
      </c>
      <c r="C480" s="229" t="s">
        <v>795</v>
      </c>
      <c r="D480" s="134">
        <v>48</v>
      </c>
      <c r="E480" s="134">
        <v>9</v>
      </c>
      <c r="F480" s="134">
        <v>333</v>
      </c>
      <c r="G480" s="134">
        <v>117</v>
      </c>
      <c r="H480" s="134">
        <v>109</v>
      </c>
      <c r="I480" s="134">
        <v>29</v>
      </c>
      <c r="J480" s="134">
        <v>259</v>
      </c>
      <c r="K480" s="134">
        <v>101</v>
      </c>
      <c r="L480" s="134">
        <v>8</v>
      </c>
      <c r="M480" s="136">
        <v>6</v>
      </c>
      <c r="N480" s="136">
        <v>0</v>
      </c>
      <c r="O480" s="136">
        <v>1</v>
      </c>
      <c r="P480" s="136">
        <v>0</v>
      </c>
      <c r="Q480" s="136">
        <v>0</v>
      </c>
      <c r="R480" s="134">
        <v>2</v>
      </c>
      <c r="S480" s="134">
        <v>1</v>
      </c>
      <c r="T480" s="134">
        <v>42</v>
      </c>
      <c r="U480" s="134">
        <v>15</v>
      </c>
      <c r="V480" s="134">
        <v>17</v>
      </c>
      <c r="W480" s="134">
        <v>8</v>
      </c>
    </row>
    <row r="481" spans="1:23" ht="72.75" customHeight="1">
      <c r="A481" s="195" t="s">
        <v>634</v>
      </c>
      <c r="B481" s="257" t="s">
        <v>337</v>
      </c>
      <c r="C481" s="229" t="s">
        <v>796</v>
      </c>
      <c r="D481" s="134">
        <v>29</v>
      </c>
      <c r="E481" s="134">
        <v>93</v>
      </c>
      <c r="F481" s="134">
        <v>100</v>
      </c>
      <c r="G481" s="134">
        <v>312</v>
      </c>
      <c r="H481" s="134">
        <v>0</v>
      </c>
      <c r="I481" s="134">
        <v>0</v>
      </c>
      <c r="J481" s="134">
        <v>0</v>
      </c>
      <c r="K481" s="134">
        <v>0</v>
      </c>
      <c r="L481" s="134">
        <v>15</v>
      </c>
      <c r="M481" s="136">
        <v>26</v>
      </c>
      <c r="N481" s="136">
        <v>0</v>
      </c>
      <c r="O481" s="136">
        <v>3</v>
      </c>
      <c r="P481" s="136">
        <v>0</v>
      </c>
      <c r="Q481" s="136">
        <v>0</v>
      </c>
      <c r="R481" s="134">
        <v>0</v>
      </c>
      <c r="S481" s="134">
        <v>0</v>
      </c>
      <c r="T481" s="134">
        <v>0</v>
      </c>
      <c r="U481" s="134">
        <v>0</v>
      </c>
      <c r="V481" s="134">
        <v>0</v>
      </c>
      <c r="W481" s="134">
        <v>0</v>
      </c>
    </row>
    <row r="482" spans="1:23" ht="72.75" customHeight="1">
      <c r="A482" s="195" t="s">
        <v>634</v>
      </c>
      <c r="B482" s="257" t="s">
        <v>710</v>
      </c>
      <c r="C482" s="229" t="s">
        <v>797</v>
      </c>
      <c r="D482" s="134">
        <v>137</v>
      </c>
      <c r="E482" s="134">
        <v>17</v>
      </c>
      <c r="F482" s="134">
        <v>531</v>
      </c>
      <c r="G482" s="134">
        <v>80</v>
      </c>
      <c r="H482" s="134">
        <v>96</v>
      </c>
      <c r="I482" s="134">
        <v>13</v>
      </c>
      <c r="J482" s="134">
        <v>550</v>
      </c>
      <c r="K482" s="134">
        <v>121</v>
      </c>
      <c r="L482" s="134">
        <v>89</v>
      </c>
      <c r="M482" s="136">
        <v>11</v>
      </c>
      <c r="N482" s="136">
        <v>2</v>
      </c>
      <c r="O482" s="136">
        <v>0</v>
      </c>
      <c r="P482" s="136">
        <v>0</v>
      </c>
      <c r="Q482" s="136">
        <v>0</v>
      </c>
      <c r="R482" s="134">
        <v>0</v>
      </c>
      <c r="S482" s="134">
        <v>0</v>
      </c>
      <c r="T482" s="134">
        <v>20</v>
      </c>
      <c r="U482" s="134">
        <v>9</v>
      </c>
      <c r="V482" s="134">
        <v>40</v>
      </c>
      <c r="W482" s="134">
        <v>9</v>
      </c>
    </row>
    <row r="483" spans="1:23" ht="72.75" customHeight="1">
      <c r="A483" s="195" t="s">
        <v>634</v>
      </c>
      <c r="B483" s="257" t="s">
        <v>712</v>
      </c>
      <c r="C483" s="229" t="s">
        <v>798</v>
      </c>
      <c r="D483" s="134">
        <v>28</v>
      </c>
      <c r="E483" s="134">
        <v>44</v>
      </c>
      <c r="F483" s="134">
        <v>186</v>
      </c>
      <c r="G483" s="134">
        <v>270</v>
      </c>
      <c r="H483" s="134">
        <v>37</v>
      </c>
      <c r="I483" s="134">
        <v>50</v>
      </c>
      <c r="J483" s="134">
        <v>59</v>
      </c>
      <c r="K483" s="134">
        <v>103</v>
      </c>
      <c r="L483" s="134">
        <v>13</v>
      </c>
      <c r="M483" s="136">
        <v>17</v>
      </c>
      <c r="N483" s="136">
        <v>4</v>
      </c>
      <c r="O483" s="136">
        <v>3</v>
      </c>
      <c r="P483" s="136">
        <v>2</v>
      </c>
      <c r="Q483" s="136">
        <v>0</v>
      </c>
      <c r="R483" s="134">
        <v>14</v>
      </c>
      <c r="S483" s="134">
        <v>17</v>
      </c>
      <c r="T483" s="134">
        <v>15</v>
      </c>
      <c r="U483" s="134">
        <v>25</v>
      </c>
      <c r="V483" s="134">
        <v>5</v>
      </c>
      <c r="W483" s="134">
        <v>7</v>
      </c>
    </row>
    <row r="484" spans="1:23" ht="72.75" customHeight="1">
      <c r="A484" s="195" t="s">
        <v>634</v>
      </c>
      <c r="B484" s="257" t="s">
        <v>270</v>
      </c>
      <c r="C484" s="229" t="s">
        <v>799</v>
      </c>
      <c r="D484" s="134">
        <v>71</v>
      </c>
      <c r="E484" s="134">
        <v>63</v>
      </c>
      <c r="F484" s="134">
        <v>213</v>
      </c>
      <c r="G484" s="134">
        <v>164</v>
      </c>
      <c r="H484" s="134">
        <v>63</v>
      </c>
      <c r="I484" s="134">
        <v>107</v>
      </c>
      <c r="J484" s="134">
        <v>248</v>
      </c>
      <c r="K484" s="134">
        <v>240</v>
      </c>
      <c r="L484" s="134">
        <v>26</v>
      </c>
      <c r="M484" s="136">
        <v>23</v>
      </c>
      <c r="N484" s="136">
        <v>2</v>
      </c>
      <c r="O484" s="136">
        <v>2</v>
      </c>
      <c r="P484" s="136">
        <v>0</v>
      </c>
      <c r="Q484" s="136">
        <v>0</v>
      </c>
      <c r="R484" s="134">
        <v>3</v>
      </c>
      <c r="S484" s="134">
        <v>3</v>
      </c>
      <c r="T484" s="134">
        <v>8</v>
      </c>
      <c r="U484" s="134">
        <v>5</v>
      </c>
      <c r="V484" s="134">
        <v>7</v>
      </c>
      <c r="W484" s="134">
        <v>7</v>
      </c>
    </row>
    <row r="485" spans="1:23" ht="72.75" customHeight="1">
      <c r="A485" s="195" t="s">
        <v>634</v>
      </c>
      <c r="B485" s="257" t="s">
        <v>711</v>
      </c>
      <c r="C485" s="229" t="s">
        <v>46</v>
      </c>
      <c r="D485" s="134">
        <v>16</v>
      </c>
      <c r="E485" s="134">
        <v>43</v>
      </c>
      <c r="F485" s="134">
        <v>85</v>
      </c>
      <c r="G485" s="134">
        <v>282</v>
      </c>
      <c r="H485" s="134">
        <v>31</v>
      </c>
      <c r="I485" s="134">
        <v>95</v>
      </c>
      <c r="J485" s="134">
        <v>42</v>
      </c>
      <c r="K485" s="134">
        <v>126</v>
      </c>
      <c r="L485" s="134">
        <v>7</v>
      </c>
      <c r="M485" s="136">
        <v>17</v>
      </c>
      <c r="N485" s="136">
        <v>0</v>
      </c>
      <c r="O485" s="136">
        <v>0</v>
      </c>
      <c r="P485" s="136">
        <v>0</v>
      </c>
      <c r="Q485" s="136">
        <v>0</v>
      </c>
      <c r="R485" s="134">
        <v>2</v>
      </c>
      <c r="S485" s="134">
        <v>10</v>
      </c>
      <c r="T485" s="134">
        <v>2</v>
      </c>
      <c r="U485" s="134">
        <v>21</v>
      </c>
      <c r="V485" s="134">
        <v>1</v>
      </c>
      <c r="W485" s="134">
        <v>10</v>
      </c>
    </row>
    <row r="486" spans="1:23" ht="72.75" customHeight="1">
      <c r="A486" s="195" t="s">
        <v>634</v>
      </c>
      <c r="B486" s="257" t="s">
        <v>144</v>
      </c>
      <c r="C486" s="229" t="s">
        <v>289</v>
      </c>
      <c r="D486" s="134">
        <v>35</v>
      </c>
      <c r="E486" s="134">
        <v>38</v>
      </c>
      <c r="F486" s="134">
        <v>143</v>
      </c>
      <c r="G486" s="134">
        <v>134</v>
      </c>
      <c r="H486" s="134">
        <v>0</v>
      </c>
      <c r="I486" s="134">
        <v>0</v>
      </c>
      <c r="J486" s="134">
        <v>0</v>
      </c>
      <c r="K486" s="134">
        <v>0</v>
      </c>
      <c r="L486" s="134">
        <v>29</v>
      </c>
      <c r="M486" s="136">
        <v>46</v>
      </c>
      <c r="N486" s="136">
        <v>2</v>
      </c>
      <c r="O486" s="136">
        <v>5</v>
      </c>
      <c r="P486" s="136">
        <v>0</v>
      </c>
      <c r="Q486" s="136">
        <v>0</v>
      </c>
      <c r="R486" s="134">
        <v>0</v>
      </c>
      <c r="S486" s="134">
        <v>0</v>
      </c>
      <c r="T486" s="134">
        <v>0</v>
      </c>
      <c r="U486" s="134">
        <v>0</v>
      </c>
      <c r="V486" s="134">
        <v>0</v>
      </c>
      <c r="W486" s="134">
        <v>0</v>
      </c>
    </row>
    <row r="487" spans="1:23" ht="72.75" customHeight="1">
      <c r="A487" s="195" t="s">
        <v>634</v>
      </c>
      <c r="B487" s="257" t="s">
        <v>710</v>
      </c>
      <c r="C487" s="229" t="s">
        <v>786</v>
      </c>
      <c r="D487" s="134">
        <v>112</v>
      </c>
      <c r="E487" s="134">
        <v>32</v>
      </c>
      <c r="F487" s="134">
        <v>397</v>
      </c>
      <c r="G487" s="134">
        <v>90</v>
      </c>
      <c r="H487" s="134">
        <v>145</v>
      </c>
      <c r="I487" s="134">
        <v>34</v>
      </c>
      <c r="J487" s="134">
        <v>533</v>
      </c>
      <c r="K487" s="134">
        <v>135</v>
      </c>
      <c r="L487" s="134">
        <v>47</v>
      </c>
      <c r="M487" s="136">
        <v>30</v>
      </c>
      <c r="N487" s="136">
        <v>11</v>
      </c>
      <c r="O487" s="136">
        <v>1</v>
      </c>
      <c r="P487" s="136">
        <v>1</v>
      </c>
      <c r="Q487" s="136">
        <v>0</v>
      </c>
      <c r="R487" s="134">
        <v>2</v>
      </c>
      <c r="S487" s="134">
        <v>0</v>
      </c>
      <c r="T487" s="134">
        <v>14</v>
      </c>
      <c r="U487" s="134">
        <v>1</v>
      </c>
      <c r="V487" s="134">
        <v>33</v>
      </c>
      <c r="W487" s="134">
        <v>9</v>
      </c>
    </row>
    <row r="488" spans="1:23" ht="72.75" customHeight="1">
      <c r="A488" s="230" t="s">
        <v>637</v>
      </c>
      <c r="B488" s="257" t="s">
        <v>914</v>
      </c>
      <c r="C488" s="271" t="s">
        <v>836</v>
      </c>
      <c r="D488" s="134">
        <v>128</v>
      </c>
      <c r="E488" s="134">
        <v>209</v>
      </c>
      <c r="F488" s="245">
        <v>446</v>
      </c>
      <c r="G488" s="245">
        <v>796</v>
      </c>
      <c r="H488" s="153">
        <v>144</v>
      </c>
      <c r="I488" s="153">
        <v>221</v>
      </c>
      <c r="J488" s="153">
        <v>1172</v>
      </c>
      <c r="K488" s="153">
        <v>1088</v>
      </c>
      <c r="L488" s="153">
        <v>16</v>
      </c>
      <c r="M488" s="153">
        <v>27</v>
      </c>
      <c r="N488" s="153">
        <v>3</v>
      </c>
      <c r="O488" s="153">
        <v>4</v>
      </c>
      <c r="P488" s="153">
        <v>0</v>
      </c>
      <c r="Q488" s="153">
        <v>0</v>
      </c>
      <c r="R488" s="153">
        <v>0</v>
      </c>
      <c r="S488" s="153">
        <v>8</v>
      </c>
      <c r="T488" s="153">
        <v>13</v>
      </c>
      <c r="U488" s="153">
        <v>50</v>
      </c>
      <c r="V488" s="153">
        <v>25</v>
      </c>
      <c r="W488" s="153">
        <v>41</v>
      </c>
    </row>
    <row r="489" spans="1:23" ht="72.75" customHeight="1">
      <c r="A489" s="230" t="s">
        <v>637</v>
      </c>
      <c r="B489" s="257" t="s">
        <v>914</v>
      </c>
      <c r="C489" s="229" t="s">
        <v>778</v>
      </c>
      <c r="D489" s="134">
        <v>105</v>
      </c>
      <c r="E489" s="134">
        <v>98</v>
      </c>
      <c r="F489" s="134">
        <v>510</v>
      </c>
      <c r="G489" s="134">
        <v>439</v>
      </c>
      <c r="H489" s="153">
        <v>140</v>
      </c>
      <c r="I489" s="153">
        <v>78</v>
      </c>
      <c r="J489" s="153">
        <v>989</v>
      </c>
      <c r="K489" s="153">
        <v>739</v>
      </c>
      <c r="L489" s="153">
        <v>15</v>
      </c>
      <c r="M489" s="153">
        <v>8</v>
      </c>
      <c r="N489" s="153">
        <v>4</v>
      </c>
      <c r="O489" s="153">
        <v>0</v>
      </c>
      <c r="P489" s="153">
        <v>0</v>
      </c>
      <c r="Q489" s="153">
        <v>0</v>
      </c>
      <c r="R489" s="153">
        <v>3</v>
      </c>
      <c r="S489" s="153">
        <v>1</v>
      </c>
      <c r="T489" s="153">
        <v>16</v>
      </c>
      <c r="U489" s="153">
        <v>22</v>
      </c>
      <c r="V489" s="153">
        <v>28</v>
      </c>
      <c r="W489" s="153">
        <v>27</v>
      </c>
    </row>
    <row r="490" spans="1:23" ht="72.75" customHeight="1">
      <c r="A490" s="230" t="s">
        <v>637</v>
      </c>
      <c r="B490" s="257" t="s">
        <v>39</v>
      </c>
      <c r="C490" s="229" t="s">
        <v>779</v>
      </c>
      <c r="D490" s="134">
        <v>90</v>
      </c>
      <c r="E490" s="134">
        <v>94</v>
      </c>
      <c r="F490" s="134">
        <v>292</v>
      </c>
      <c r="G490" s="134">
        <v>398</v>
      </c>
      <c r="H490" s="153">
        <v>71</v>
      </c>
      <c r="I490" s="153">
        <v>65</v>
      </c>
      <c r="J490" s="153">
        <v>732</v>
      </c>
      <c r="K490" s="153">
        <v>729</v>
      </c>
      <c r="L490" s="153">
        <v>7</v>
      </c>
      <c r="M490" s="153">
        <v>12</v>
      </c>
      <c r="N490" s="153">
        <v>5</v>
      </c>
      <c r="O490" s="153">
        <v>0</v>
      </c>
      <c r="P490" s="153">
        <v>0</v>
      </c>
      <c r="Q490" s="153">
        <v>0</v>
      </c>
      <c r="R490" s="153">
        <v>10</v>
      </c>
      <c r="S490" s="153">
        <v>10</v>
      </c>
      <c r="T490" s="153">
        <v>15</v>
      </c>
      <c r="U490" s="153">
        <v>17</v>
      </c>
      <c r="V490" s="153">
        <v>12</v>
      </c>
      <c r="W490" s="153">
        <v>22</v>
      </c>
    </row>
    <row r="491" spans="1:23" ht="72.75" customHeight="1">
      <c r="A491" s="230" t="s">
        <v>637</v>
      </c>
      <c r="B491" s="257" t="s">
        <v>39</v>
      </c>
      <c r="C491" s="229" t="s">
        <v>137</v>
      </c>
      <c r="D491" s="134">
        <v>48</v>
      </c>
      <c r="E491" s="134">
        <v>136</v>
      </c>
      <c r="F491" s="134">
        <v>187</v>
      </c>
      <c r="G491" s="134">
        <v>546</v>
      </c>
      <c r="H491" s="153">
        <v>45</v>
      </c>
      <c r="I491" s="153">
        <v>82</v>
      </c>
      <c r="J491" s="153">
        <v>208</v>
      </c>
      <c r="K491" s="153">
        <v>360</v>
      </c>
      <c r="L491" s="153">
        <v>7</v>
      </c>
      <c r="M491" s="153">
        <v>11</v>
      </c>
      <c r="N491" s="153">
        <v>0</v>
      </c>
      <c r="O491" s="153">
        <v>1</v>
      </c>
      <c r="P491" s="153">
        <v>0</v>
      </c>
      <c r="Q491" s="153">
        <v>0</v>
      </c>
      <c r="R491" s="153">
        <v>2</v>
      </c>
      <c r="S491" s="153">
        <v>8</v>
      </c>
      <c r="T491" s="153">
        <v>4</v>
      </c>
      <c r="U491" s="153">
        <v>18</v>
      </c>
      <c r="V491" s="153">
        <v>3</v>
      </c>
      <c r="W491" s="153">
        <v>14</v>
      </c>
    </row>
    <row r="492" spans="1:23" ht="72.75" customHeight="1">
      <c r="A492" s="230" t="s">
        <v>637</v>
      </c>
      <c r="B492" s="257" t="s">
        <v>39</v>
      </c>
      <c r="C492" s="229" t="s">
        <v>457</v>
      </c>
      <c r="D492" s="134">
        <v>45</v>
      </c>
      <c r="E492" s="134">
        <v>174</v>
      </c>
      <c r="F492" s="134">
        <v>203</v>
      </c>
      <c r="G492" s="134">
        <v>746</v>
      </c>
      <c r="H492" s="153">
        <v>68</v>
      </c>
      <c r="I492" s="153">
        <v>170</v>
      </c>
      <c r="J492" s="153">
        <v>636</v>
      </c>
      <c r="K492" s="153">
        <v>1066</v>
      </c>
      <c r="L492" s="153">
        <v>5</v>
      </c>
      <c r="M492" s="153">
        <v>17</v>
      </c>
      <c r="N492" s="153">
        <v>2</v>
      </c>
      <c r="O492" s="153">
        <v>5</v>
      </c>
      <c r="P492" s="153">
        <v>0</v>
      </c>
      <c r="Q492" s="153">
        <v>0</v>
      </c>
      <c r="R492" s="153">
        <v>3</v>
      </c>
      <c r="S492" s="153">
        <v>33</v>
      </c>
      <c r="T492" s="153">
        <v>13</v>
      </c>
      <c r="U492" s="153">
        <v>42</v>
      </c>
      <c r="V492" s="153">
        <v>10</v>
      </c>
      <c r="W492" s="153">
        <v>34</v>
      </c>
    </row>
    <row r="493" spans="1:23" ht="72.75" customHeight="1">
      <c r="A493" s="230" t="s">
        <v>637</v>
      </c>
      <c r="B493" s="257" t="s">
        <v>456</v>
      </c>
      <c r="C493" s="229" t="s">
        <v>48</v>
      </c>
      <c r="D493" s="134">
        <v>30</v>
      </c>
      <c r="E493" s="134">
        <v>187</v>
      </c>
      <c r="F493" s="134">
        <v>133</v>
      </c>
      <c r="G493" s="134">
        <v>719</v>
      </c>
      <c r="H493" s="153">
        <v>20</v>
      </c>
      <c r="I493" s="153">
        <v>118</v>
      </c>
      <c r="J493" s="153">
        <v>142</v>
      </c>
      <c r="K493" s="153">
        <v>406</v>
      </c>
      <c r="L493" s="153">
        <v>2</v>
      </c>
      <c r="M493" s="153">
        <v>5</v>
      </c>
      <c r="N493" s="153">
        <v>3</v>
      </c>
      <c r="O493" s="153">
        <v>0</v>
      </c>
      <c r="P493" s="153">
        <v>0</v>
      </c>
      <c r="Q493" s="153">
        <v>0</v>
      </c>
      <c r="R493" s="153">
        <v>2</v>
      </c>
      <c r="S493" s="153">
        <v>12</v>
      </c>
      <c r="T493" s="153">
        <v>5</v>
      </c>
      <c r="U493" s="153">
        <v>28</v>
      </c>
      <c r="V493" s="153">
        <v>11</v>
      </c>
      <c r="W493" s="153">
        <v>26</v>
      </c>
    </row>
    <row r="494" spans="1:23" ht="72.75" customHeight="1">
      <c r="A494" s="230" t="s">
        <v>637</v>
      </c>
      <c r="B494" s="257" t="s">
        <v>456</v>
      </c>
      <c r="C494" s="229" t="s">
        <v>780</v>
      </c>
      <c r="D494" s="134">
        <v>28</v>
      </c>
      <c r="E494" s="134">
        <v>110</v>
      </c>
      <c r="F494" s="134">
        <v>148</v>
      </c>
      <c r="G494" s="134">
        <v>506</v>
      </c>
      <c r="H494" s="153">
        <v>39</v>
      </c>
      <c r="I494" s="153">
        <v>137</v>
      </c>
      <c r="J494" s="153">
        <v>227</v>
      </c>
      <c r="K494" s="153">
        <v>569</v>
      </c>
      <c r="L494" s="153">
        <v>4</v>
      </c>
      <c r="M494" s="153">
        <v>18</v>
      </c>
      <c r="N494" s="153">
        <v>0</v>
      </c>
      <c r="O494" s="153">
        <v>1</v>
      </c>
      <c r="P494" s="153">
        <v>0</v>
      </c>
      <c r="Q494" s="153">
        <v>0</v>
      </c>
      <c r="R494" s="153">
        <v>4</v>
      </c>
      <c r="S494" s="153">
        <v>6</v>
      </c>
      <c r="T494" s="153">
        <v>7</v>
      </c>
      <c r="U494" s="153">
        <v>22</v>
      </c>
      <c r="V494" s="153">
        <v>10</v>
      </c>
      <c r="W494" s="153">
        <v>31</v>
      </c>
    </row>
    <row r="495" spans="1:23" ht="72.75" customHeight="1">
      <c r="A495" s="230" t="s">
        <v>637</v>
      </c>
      <c r="B495" s="257" t="s">
        <v>923</v>
      </c>
      <c r="C495" s="229" t="s">
        <v>915</v>
      </c>
      <c r="D495" s="134">
        <v>51</v>
      </c>
      <c r="E495" s="134">
        <v>129</v>
      </c>
      <c r="F495" s="134">
        <v>216</v>
      </c>
      <c r="G495" s="134">
        <v>521</v>
      </c>
      <c r="H495" s="153">
        <v>34</v>
      </c>
      <c r="I495" s="153">
        <v>74</v>
      </c>
      <c r="J495" s="153">
        <v>181</v>
      </c>
      <c r="K495" s="153">
        <v>302</v>
      </c>
      <c r="L495" s="153">
        <v>6</v>
      </c>
      <c r="M495" s="153">
        <v>23</v>
      </c>
      <c r="N495" s="153">
        <v>0</v>
      </c>
      <c r="O495" s="153">
        <v>0</v>
      </c>
      <c r="P495" s="153">
        <v>0</v>
      </c>
      <c r="Q495" s="153">
        <v>0</v>
      </c>
      <c r="R495" s="153">
        <v>2</v>
      </c>
      <c r="S495" s="153">
        <v>3</v>
      </c>
      <c r="T495" s="153">
        <v>5</v>
      </c>
      <c r="U495" s="153">
        <v>24</v>
      </c>
      <c r="V495" s="153">
        <v>40</v>
      </c>
      <c r="W495" s="153">
        <v>16</v>
      </c>
    </row>
    <row r="496" spans="1:23" ht="72.75" customHeight="1">
      <c r="A496" s="230" t="s">
        <v>637</v>
      </c>
      <c r="B496" s="257" t="s">
        <v>923</v>
      </c>
      <c r="C496" s="229" t="s">
        <v>916</v>
      </c>
      <c r="D496" s="134">
        <v>28</v>
      </c>
      <c r="E496" s="134">
        <v>141</v>
      </c>
      <c r="F496" s="134">
        <v>161</v>
      </c>
      <c r="G496" s="134">
        <v>526</v>
      </c>
      <c r="H496" s="153">
        <v>58</v>
      </c>
      <c r="I496" s="153">
        <v>68</v>
      </c>
      <c r="J496" s="153">
        <v>621</v>
      </c>
      <c r="K496" s="153">
        <v>854</v>
      </c>
      <c r="L496" s="153">
        <v>2</v>
      </c>
      <c r="M496" s="153">
        <v>8</v>
      </c>
      <c r="N496" s="153">
        <v>2</v>
      </c>
      <c r="O496" s="153">
        <v>5</v>
      </c>
      <c r="P496" s="153">
        <v>0</v>
      </c>
      <c r="Q496" s="153">
        <v>0</v>
      </c>
      <c r="R496" s="153">
        <v>6</v>
      </c>
      <c r="S496" s="153">
        <v>13</v>
      </c>
      <c r="T496" s="153">
        <v>7</v>
      </c>
      <c r="U496" s="153">
        <v>23</v>
      </c>
      <c r="V496" s="153">
        <v>5</v>
      </c>
      <c r="W496" s="153">
        <v>19</v>
      </c>
    </row>
    <row r="497" spans="1:23" ht="72.75" customHeight="1">
      <c r="A497" s="230" t="s">
        <v>322</v>
      </c>
      <c r="B497" s="257"/>
      <c r="C497" s="229" t="s">
        <v>320</v>
      </c>
      <c r="D497" s="134">
        <v>4</v>
      </c>
      <c r="E497" s="134">
        <v>0</v>
      </c>
      <c r="F497" s="134">
        <v>68</v>
      </c>
      <c r="G497" s="134">
        <v>0</v>
      </c>
      <c r="H497" s="134">
        <v>56</v>
      </c>
      <c r="I497" s="134">
        <v>0</v>
      </c>
      <c r="J497" s="134">
        <v>207</v>
      </c>
      <c r="K497" s="134">
        <v>0</v>
      </c>
      <c r="L497" s="134">
        <v>6</v>
      </c>
      <c r="M497" s="134">
        <v>0</v>
      </c>
      <c r="N497" s="134">
        <v>2</v>
      </c>
      <c r="O497" s="134">
        <v>0</v>
      </c>
      <c r="P497" s="134">
        <v>0</v>
      </c>
      <c r="Q497" s="134">
        <v>0</v>
      </c>
      <c r="R497" s="134">
        <v>8</v>
      </c>
      <c r="S497" s="134">
        <v>0</v>
      </c>
      <c r="T497" s="134">
        <v>2</v>
      </c>
      <c r="U497" s="134">
        <v>0</v>
      </c>
      <c r="V497" s="134">
        <v>0</v>
      </c>
      <c r="W497" s="134">
        <v>0</v>
      </c>
    </row>
    <row r="498" spans="1:23" ht="72.75" customHeight="1">
      <c r="A498" s="230" t="s">
        <v>322</v>
      </c>
      <c r="B498" s="257"/>
      <c r="C498" s="229" t="s">
        <v>321</v>
      </c>
      <c r="D498" s="134">
        <v>0</v>
      </c>
      <c r="E498" s="134">
        <v>0</v>
      </c>
      <c r="F498" s="134">
        <v>13</v>
      </c>
      <c r="G498" s="134">
        <v>9</v>
      </c>
      <c r="H498" s="134">
        <v>25</v>
      </c>
      <c r="I498" s="134">
        <v>65</v>
      </c>
      <c r="J498" s="134">
        <v>101</v>
      </c>
      <c r="K498" s="134">
        <v>253</v>
      </c>
      <c r="L498" s="134">
        <v>1</v>
      </c>
      <c r="M498" s="134">
        <v>3</v>
      </c>
      <c r="N498" s="134">
        <v>0</v>
      </c>
      <c r="O498" s="134">
        <v>0</v>
      </c>
      <c r="P498" s="134">
        <v>0</v>
      </c>
      <c r="Q498" s="134">
        <v>0</v>
      </c>
      <c r="R498" s="134">
        <v>1</v>
      </c>
      <c r="S498" s="134">
        <v>2</v>
      </c>
      <c r="T498" s="134">
        <v>2</v>
      </c>
      <c r="U498" s="134">
        <v>0</v>
      </c>
      <c r="V498" s="134">
        <v>1</v>
      </c>
      <c r="W498" s="134">
        <v>4</v>
      </c>
    </row>
    <row r="499" spans="1:23" ht="72.75" customHeight="1">
      <c r="A499" s="195" t="s">
        <v>635</v>
      </c>
      <c r="B499" s="257" t="s">
        <v>674</v>
      </c>
      <c r="C499" s="229" t="s">
        <v>529</v>
      </c>
      <c r="D499" s="134">
        <v>95</v>
      </c>
      <c r="E499" s="134">
        <v>34</v>
      </c>
      <c r="F499" s="134">
        <v>556</v>
      </c>
      <c r="G499" s="134">
        <v>155</v>
      </c>
      <c r="H499" s="134">
        <v>221</v>
      </c>
      <c r="I499" s="134">
        <v>50</v>
      </c>
      <c r="J499" s="134">
        <v>143</v>
      </c>
      <c r="K499" s="134">
        <v>38</v>
      </c>
      <c r="L499" s="134">
        <v>31</v>
      </c>
      <c r="M499" s="136">
        <v>4</v>
      </c>
      <c r="N499" s="136">
        <v>2</v>
      </c>
      <c r="O499" s="136">
        <v>0</v>
      </c>
      <c r="P499" s="136">
        <v>0</v>
      </c>
      <c r="Q499" s="136">
        <v>0</v>
      </c>
      <c r="R499" s="134">
        <v>6</v>
      </c>
      <c r="S499" s="134">
        <v>1</v>
      </c>
      <c r="T499" s="134">
        <v>58</v>
      </c>
      <c r="U499" s="134">
        <v>22</v>
      </c>
      <c r="V499" s="134">
        <v>28</v>
      </c>
      <c r="W499" s="134">
        <v>9</v>
      </c>
    </row>
    <row r="500" spans="1:23" ht="72.75" customHeight="1">
      <c r="A500" s="195" t="s">
        <v>635</v>
      </c>
      <c r="B500" s="257" t="s">
        <v>670</v>
      </c>
      <c r="C500" s="271" t="s">
        <v>670</v>
      </c>
      <c r="D500" s="134">
        <v>27</v>
      </c>
      <c r="E500" s="134">
        <v>12</v>
      </c>
      <c r="F500" s="134">
        <v>238</v>
      </c>
      <c r="G500" s="134">
        <v>116</v>
      </c>
      <c r="H500" s="134">
        <v>147</v>
      </c>
      <c r="I500" s="134">
        <v>56</v>
      </c>
      <c r="J500" s="134">
        <v>97</v>
      </c>
      <c r="K500" s="134">
        <v>36</v>
      </c>
      <c r="L500" s="134">
        <v>6</v>
      </c>
      <c r="M500" s="136">
        <v>5</v>
      </c>
      <c r="N500" s="136">
        <v>3</v>
      </c>
      <c r="O500" s="136">
        <v>0</v>
      </c>
      <c r="P500" s="136">
        <v>0</v>
      </c>
      <c r="Q500" s="136">
        <v>0</v>
      </c>
      <c r="R500" s="134">
        <v>0</v>
      </c>
      <c r="S500" s="134">
        <v>1</v>
      </c>
      <c r="T500" s="134">
        <v>14</v>
      </c>
      <c r="U500" s="134">
        <v>16</v>
      </c>
      <c r="V500" s="134">
        <v>11</v>
      </c>
      <c r="W500" s="134">
        <v>4</v>
      </c>
    </row>
    <row r="501" spans="1:23" ht="72.75" customHeight="1">
      <c r="A501" s="195" t="s">
        <v>635</v>
      </c>
      <c r="B501" s="257" t="s">
        <v>52</v>
      </c>
      <c r="C501" s="229" t="s">
        <v>52</v>
      </c>
      <c r="D501" s="134">
        <v>139</v>
      </c>
      <c r="E501" s="134">
        <v>28</v>
      </c>
      <c r="F501" s="134">
        <v>601</v>
      </c>
      <c r="G501" s="134">
        <v>133</v>
      </c>
      <c r="H501" s="134">
        <v>302</v>
      </c>
      <c r="I501" s="134">
        <v>51</v>
      </c>
      <c r="J501" s="134">
        <v>169</v>
      </c>
      <c r="K501" s="134">
        <v>22</v>
      </c>
      <c r="L501" s="134">
        <v>60</v>
      </c>
      <c r="M501" s="136">
        <v>10</v>
      </c>
      <c r="N501" s="136">
        <v>8</v>
      </c>
      <c r="O501" s="136">
        <v>3</v>
      </c>
      <c r="P501" s="136">
        <v>9</v>
      </c>
      <c r="Q501" s="136">
        <v>1</v>
      </c>
      <c r="R501" s="134">
        <v>1</v>
      </c>
      <c r="S501" s="134">
        <v>0</v>
      </c>
      <c r="T501" s="134">
        <v>38</v>
      </c>
      <c r="U501" s="134">
        <v>2</v>
      </c>
      <c r="V501" s="134">
        <v>25</v>
      </c>
      <c r="W501" s="134">
        <v>9</v>
      </c>
    </row>
    <row r="502" spans="1:23" ht="72.75" customHeight="1">
      <c r="A502" s="195" t="s">
        <v>635</v>
      </c>
      <c r="B502" s="257" t="s">
        <v>673</v>
      </c>
      <c r="C502" s="229" t="s">
        <v>671</v>
      </c>
      <c r="D502" s="134">
        <v>69</v>
      </c>
      <c r="E502" s="134">
        <v>61</v>
      </c>
      <c r="F502" s="134">
        <v>293</v>
      </c>
      <c r="G502" s="134">
        <v>266</v>
      </c>
      <c r="H502" s="134">
        <v>132</v>
      </c>
      <c r="I502" s="134">
        <v>80</v>
      </c>
      <c r="J502" s="134">
        <v>97</v>
      </c>
      <c r="K502" s="134">
        <v>57</v>
      </c>
      <c r="L502" s="134">
        <v>13</v>
      </c>
      <c r="M502" s="136">
        <v>5</v>
      </c>
      <c r="N502" s="136">
        <v>4</v>
      </c>
      <c r="O502" s="136">
        <v>4</v>
      </c>
      <c r="P502" s="136">
        <v>0</v>
      </c>
      <c r="Q502" s="136">
        <v>0</v>
      </c>
      <c r="R502" s="134">
        <v>3</v>
      </c>
      <c r="S502" s="134">
        <v>1</v>
      </c>
      <c r="T502" s="134">
        <v>14</v>
      </c>
      <c r="U502" s="134">
        <v>24</v>
      </c>
      <c r="V502" s="134">
        <v>8</v>
      </c>
      <c r="W502" s="134">
        <v>6</v>
      </c>
    </row>
    <row r="503" spans="1:23" ht="72.75" customHeight="1">
      <c r="A503" s="195" t="s">
        <v>635</v>
      </c>
      <c r="B503" s="257" t="s">
        <v>51</v>
      </c>
      <c r="C503" s="229" t="s">
        <v>51</v>
      </c>
      <c r="D503" s="134">
        <v>20</v>
      </c>
      <c r="E503" s="134">
        <v>109</v>
      </c>
      <c r="F503" s="134">
        <v>163</v>
      </c>
      <c r="G503" s="134">
        <v>454</v>
      </c>
      <c r="H503" s="134">
        <v>82</v>
      </c>
      <c r="I503" s="134">
        <v>178</v>
      </c>
      <c r="J503" s="134">
        <v>33</v>
      </c>
      <c r="K503" s="134">
        <v>95</v>
      </c>
      <c r="L503" s="134">
        <v>8</v>
      </c>
      <c r="M503" s="136">
        <v>15</v>
      </c>
      <c r="N503" s="136">
        <v>3</v>
      </c>
      <c r="O503" s="136">
        <v>3</v>
      </c>
      <c r="P503" s="136">
        <v>5</v>
      </c>
      <c r="Q503" s="136">
        <v>2</v>
      </c>
      <c r="R503" s="134">
        <v>0</v>
      </c>
      <c r="S503" s="134">
        <v>0</v>
      </c>
      <c r="T503" s="134">
        <v>18</v>
      </c>
      <c r="U503" s="134">
        <v>33</v>
      </c>
      <c r="V503" s="134">
        <v>5</v>
      </c>
      <c r="W503" s="134">
        <v>20</v>
      </c>
    </row>
    <row r="504" spans="1:23" ht="72.75" customHeight="1">
      <c r="A504" s="195" t="s">
        <v>626</v>
      </c>
      <c r="B504" s="257" t="s">
        <v>627</v>
      </c>
      <c r="C504" s="229" t="s">
        <v>628</v>
      </c>
      <c r="D504" s="293">
        <v>115</v>
      </c>
      <c r="E504" s="247">
        <v>26</v>
      </c>
      <c r="F504" s="247">
        <v>481</v>
      </c>
      <c r="G504" s="247">
        <v>97</v>
      </c>
      <c r="H504" s="247">
        <v>130</v>
      </c>
      <c r="I504" s="247">
        <v>36</v>
      </c>
      <c r="J504" s="247">
        <v>256</v>
      </c>
      <c r="K504" s="247">
        <v>56</v>
      </c>
      <c r="L504" s="247">
        <v>11</v>
      </c>
      <c r="M504" s="247">
        <v>2</v>
      </c>
      <c r="N504" s="247">
        <v>15</v>
      </c>
      <c r="O504" s="247">
        <v>1</v>
      </c>
      <c r="P504" s="247">
        <v>0</v>
      </c>
      <c r="Q504" s="247">
        <v>0</v>
      </c>
      <c r="R504" s="247">
        <v>17</v>
      </c>
      <c r="S504" s="247">
        <v>7</v>
      </c>
      <c r="T504" s="247">
        <v>18</v>
      </c>
      <c r="U504" s="247">
        <v>9</v>
      </c>
      <c r="V504" s="247">
        <v>23</v>
      </c>
      <c r="W504" s="247">
        <v>5</v>
      </c>
    </row>
    <row r="505" spans="1:23" ht="72.75" customHeight="1">
      <c r="A505" s="195" t="s">
        <v>626</v>
      </c>
      <c r="B505" s="257" t="s">
        <v>629</v>
      </c>
      <c r="C505" s="229" t="s">
        <v>630</v>
      </c>
      <c r="D505" s="293">
        <v>10</v>
      </c>
      <c r="E505" s="247">
        <v>70</v>
      </c>
      <c r="F505" s="247">
        <v>74</v>
      </c>
      <c r="G505" s="247">
        <v>332</v>
      </c>
      <c r="H505" s="247">
        <v>20</v>
      </c>
      <c r="I505" s="247">
        <v>61</v>
      </c>
      <c r="J505" s="247">
        <v>84</v>
      </c>
      <c r="K505" s="247">
        <v>149</v>
      </c>
      <c r="L505" s="247">
        <v>5</v>
      </c>
      <c r="M505" s="247">
        <v>10</v>
      </c>
      <c r="N505" s="247">
        <v>2</v>
      </c>
      <c r="O505" s="247">
        <v>10</v>
      </c>
      <c r="P505" s="247">
        <v>0</v>
      </c>
      <c r="Q505" s="247">
        <v>0</v>
      </c>
      <c r="R505" s="247">
        <v>3</v>
      </c>
      <c r="S505" s="247">
        <v>22</v>
      </c>
      <c r="T505" s="247">
        <v>3</v>
      </c>
      <c r="U505" s="247">
        <v>29</v>
      </c>
      <c r="V505" s="247">
        <v>1</v>
      </c>
      <c r="W505" s="247">
        <v>13</v>
      </c>
    </row>
    <row r="506" spans="1:23" ht="72.75" customHeight="1">
      <c r="A506" s="195" t="s">
        <v>626</v>
      </c>
      <c r="B506" s="257" t="s">
        <v>922</v>
      </c>
      <c r="C506" s="229" t="s">
        <v>632</v>
      </c>
      <c r="D506" s="294">
        <v>36</v>
      </c>
      <c r="E506" s="250">
        <v>60</v>
      </c>
      <c r="F506" s="250">
        <v>150</v>
      </c>
      <c r="G506" s="250">
        <v>224</v>
      </c>
      <c r="H506" s="250">
        <v>39</v>
      </c>
      <c r="I506" s="250">
        <v>31</v>
      </c>
      <c r="J506" s="250">
        <v>98</v>
      </c>
      <c r="K506" s="250">
        <v>142</v>
      </c>
      <c r="L506" s="250">
        <v>1</v>
      </c>
      <c r="M506" s="250">
        <v>4</v>
      </c>
      <c r="N506" s="250">
        <v>0</v>
      </c>
      <c r="O506" s="250">
        <v>3</v>
      </c>
      <c r="P506" s="250">
        <v>0</v>
      </c>
      <c r="Q506" s="250">
        <v>0</v>
      </c>
      <c r="R506" s="250">
        <v>7</v>
      </c>
      <c r="S506" s="250">
        <v>11</v>
      </c>
      <c r="T506" s="250">
        <v>11</v>
      </c>
      <c r="U506" s="250">
        <v>12</v>
      </c>
      <c r="V506" s="250">
        <v>5</v>
      </c>
      <c r="W506" s="250">
        <v>8</v>
      </c>
    </row>
    <row r="507" spans="1:23" ht="72.75" customHeight="1">
      <c r="A507" s="195" t="s">
        <v>626</v>
      </c>
      <c r="B507" s="230" t="s">
        <v>922</v>
      </c>
      <c r="C507" s="229" t="s">
        <v>633</v>
      </c>
      <c r="D507" s="82">
        <v>39</v>
      </c>
      <c r="E507" s="82">
        <v>50</v>
      </c>
      <c r="F507" s="82">
        <v>210</v>
      </c>
      <c r="G507" s="82">
        <v>157</v>
      </c>
      <c r="H507" s="82">
        <v>65</v>
      </c>
      <c r="I507" s="82">
        <v>68</v>
      </c>
      <c r="J507" s="82">
        <v>257</v>
      </c>
      <c r="K507" s="82">
        <v>218</v>
      </c>
      <c r="L507" s="82">
        <v>10</v>
      </c>
      <c r="M507" s="82">
        <v>8</v>
      </c>
      <c r="N507" s="82">
        <v>3</v>
      </c>
      <c r="O507" s="82">
        <v>4</v>
      </c>
      <c r="P507" s="82">
        <v>0</v>
      </c>
      <c r="Q507" s="82">
        <v>0</v>
      </c>
      <c r="R507" s="82">
        <v>3</v>
      </c>
      <c r="S507" s="82">
        <v>9</v>
      </c>
      <c r="T507" s="82">
        <v>9</v>
      </c>
      <c r="U507" s="82">
        <v>15</v>
      </c>
      <c r="V507" s="82">
        <v>14</v>
      </c>
      <c r="W507" s="82">
        <v>4</v>
      </c>
    </row>
    <row r="508" spans="1:23" ht="72.75" customHeight="1">
      <c r="A508" s="300"/>
      <c r="B508" s="301"/>
      <c r="C508" s="284" t="s">
        <v>126</v>
      </c>
      <c r="D508" s="283">
        <f>SUM(D4:D507)</f>
        <v>29798</v>
      </c>
      <c r="E508" s="283">
        <f t="shared" ref="E508:W508" si="0">SUM(E4:E507)</f>
        <v>36612</v>
      </c>
      <c r="F508" s="283">
        <f t="shared" si="0"/>
        <v>128990</v>
      </c>
      <c r="G508" s="283">
        <f t="shared" si="0"/>
        <v>152459</v>
      </c>
      <c r="H508" s="283">
        <f t="shared" si="0"/>
        <v>50996</v>
      </c>
      <c r="I508" s="283">
        <f t="shared" si="0"/>
        <v>39235</v>
      </c>
      <c r="J508" s="283">
        <f t="shared" si="0"/>
        <v>194154</v>
      </c>
      <c r="K508" s="283">
        <f t="shared" si="0"/>
        <v>139401</v>
      </c>
      <c r="L508" s="283">
        <f t="shared" si="0"/>
        <v>8410</v>
      </c>
      <c r="M508" s="283">
        <f t="shared" si="0"/>
        <v>9328</v>
      </c>
      <c r="N508" s="283">
        <f t="shared" si="0"/>
        <v>4554</v>
      </c>
      <c r="O508" s="283">
        <f t="shared" si="0"/>
        <v>4076</v>
      </c>
      <c r="P508" s="283">
        <f t="shared" si="0"/>
        <v>4322</v>
      </c>
      <c r="Q508" s="283">
        <f t="shared" si="0"/>
        <v>4178</v>
      </c>
      <c r="R508" s="283">
        <f t="shared" si="0"/>
        <v>3565</v>
      </c>
      <c r="S508" s="283">
        <f t="shared" si="0"/>
        <v>8432</v>
      </c>
      <c r="T508" s="283">
        <f t="shared" si="0"/>
        <v>11736</v>
      </c>
      <c r="U508" s="283">
        <f t="shared" si="0"/>
        <v>17259</v>
      </c>
      <c r="V508" s="283">
        <f t="shared" si="0"/>
        <v>7970</v>
      </c>
      <c r="W508" s="283">
        <f t="shared" si="0"/>
        <v>6860</v>
      </c>
    </row>
  </sheetData>
  <mergeCells count="11"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</mergeCells>
  <dataValidations count="1">
    <dataValidation type="whole" allowBlank="1" showInputMessage="1" showErrorMessage="1" errorTitle="ΑΚΥΡΗ ΚΑΤΑΧΩΡΗΣΗ" error="ΠΡΕΠΕΙ ΝΑ ΕΙΣΑΓΕΤΕ ΑΚΕΡΑΙΟ ΜΗ ΑΡΝΗΤΙΚΟ ΑΡΙΘΜΟ" sqref="F138:K138 H162:I172 F166:G166 F168:G168 H140:I160 G139:H139 J166:K166 J168:K168 H177:I181">
      <formula1>0</formula1>
      <formula2>1000000</formula2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5"/>
  <sheetViews>
    <sheetView topLeftCell="B21" workbookViewId="0">
      <selection activeCell="X27" sqref="X1:X1048576"/>
    </sheetView>
  </sheetViews>
  <sheetFormatPr defaultColWidth="9.140625" defaultRowHeight="15"/>
  <cols>
    <col min="1" max="1" width="36.28515625" style="7" bestFit="1" customWidth="1"/>
    <col min="2" max="2" width="26.85546875" style="7" bestFit="1" customWidth="1"/>
    <col min="3" max="3" width="64.5703125" style="7" bestFit="1" customWidth="1"/>
    <col min="4" max="23" width="5.85546875" style="173" customWidth="1"/>
    <col min="24" max="16384" width="9.140625" style="7"/>
  </cols>
  <sheetData>
    <row r="1" spans="1:24">
      <c r="A1" s="354" t="s">
        <v>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</row>
    <row r="2" spans="1:24" ht="87.75" customHeight="1">
      <c r="A2" s="1" t="s">
        <v>0</v>
      </c>
      <c r="B2" s="1" t="s">
        <v>4</v>
      </c>
      <c r="C2" s="1" t="s">
        <v>1</v>
      </c>
      <c r="D2" s="353" t="s">
        <v>5</v>
      </c>
      <c r="E2" s="331"/>
      <c r="F2" s="355" t="s">
        <v>2</v>
      </c>
      <c r="G2" s="331"/>
      <c r="H2" s="353" t="s">
        <v>10</v>
      </c>
      <c r="I2" s="331"/>
      <c r="J2" s="356" t="s">
        <v>11</v>
      </c>
      <c r="K2" s="331"/>
      <c r="L2" s="356" t="s">
        <v>9</v>
      </c>
      <c r="M2" s="356"/>
      <c r="N2" s="356" t="s">
        <v>14</v>
      </c>
      <c r="O2" s="356"/>
      <c r="P2" s="356" t="s">
        <v>15</v>
      </c>
      <c r="Q2" s="356"/>
      <c r="R2" s="353" t="s">
        <v>3</v>
      </c>
      <c r="S2" s="331"/>
      <c r="T2" s="353" t="s">
        <v>12</v>
      </c>
      <c r="U2" s="331"/>
      <c r="V2" s="353" t="s">
        <v>13</v>
      </c>
      <c r="W2" s="331"/>
    </row>
    <row r="3" spans="1:24">
      <c r="A3" s="129"/>
      <c r="B3" s="129"/>
      <c r="C3" s="129"/>
      <c r="D3" s="64" t="s">
        <v>6</v>
      </c>
      <c r="E3" s="64" t="s">
        <v>7</v>
      </c>
      <c r="F3" s="64" t="s">
        <v>6</v>
      </c>
      <c r="G3" s="64" t="s">
        <v>7</v>
      </c>
      <c r="H3" s="64" t="s">
        <v>6</v>
      </c>
      <c r="I3" s="64" t="s">
        <v>7</v>
      </c>
      <c r="J3" s="64" t="s">
        <v>6</v>
      </c>
      <c r="K3" s="64" t="s">
        <v>7</v>
      </c>
      <c r="L3" s="64" t="s">
        <v>6</v>
      </c>
      <c r="M3" s="64" t="s">
        <v>7</v>
      </c>
      <c r="N3" s="64" t="s">
        <v>6</v>
      </c>
      <c r="O3" s="64" t="s">
        <v>7</v>
      </c>
      <c r="P3" s="64" t="s">
        <v>6</v>
      </c>
      <c r="Q3" s="64" t="s">
        <v>7</v>
      </c>
      <c r="R3" s="64" t="s">
        <v>6</v>
      </c>
      <c r="S3" s="64" t="s">
        <v>7</v>
      </c>
      <c r="T3" s="64" t="s">
        <v>6</v>
      </c>
      <c r="U3" s="64" t="s">
        <v>7</v>
      </c>
      <c r="V3" s="64" t="s">
        <v>6</v>
      </c>
      <c r="W3" s="64" t="s">
        <v>7</v>
      </c>
    </row>
    <row r="4" spans="1:24">
      <c r="A4" s="193" t="s">
        <v>517</v>
      </c>
      <c r="B4" s="194" t="s">
        <v>518</v>
      </c>
      <c r="C4" s="194" t="s">
        <v>158</v>
      </c>
      <c r="D4" s="136">
        <v>25</v>
      </c>
      <c r="E4" s="136">
        <v>25</v>
      </c>
      <c r="F4" s="136">
        <v>154</v>
      </c>
      <c r="G4" s="136">
        <v>311</v>
      </c>
      <c r="H4" s="136">
        <v>56</v>
      </c>
      <c r="I4" s="136">
        <v>75</v>
      </c>
      <c r="J4" s="136">
        <v>99</v>
      </c>
      <c r="K4" s="136">
        <v>88</v>
      </c>
      <c r="L4" s="136">
        <v>8</v>
      </c>
      <c r="M4" s="136">
        <v>12</v>
      </c>
      <c r="N4" s="136">
        <v>13</v>
      </c>
      <c r="O4" s="136">
        <v>4</v>
      </c>
      <c r="P4" s="136">
        <v>0</v>
      </c>
      <c r="Q4" s="136">
        <v>0</v>
      </c>
      <c r="R4" s="136">
        <v>33</v>
      </c>
      <c r="S4" s="136">
        <v>62</v>
      </c>
      <c r="T4" s="136">
        <v>22</v>
      </c>
      <c r="U4" s="136">
        <v>42</v>
      </c>
      <c r="V4" s="136">
        <v>11</v>
      </c>
      <c r="W4" s="136">
        <v>20</v>
      </c>
    </row>
    <row r="5" spans="1:24" s="45" customFormat="1">
      <c r="A5" s="193" t="s">
        <v>519</v>
      </c>
      <c r="B5" s="195" t="s">
        <v>456</v>
      </c>
      <c r="C5" s="195" t="s">
        <v>269</v>
      </c>
      <c r="D5" s="136">
        <v>7</v>
      </c>
      <c r="E5" s="136">
        <v>152</v>
      </c>
      <c r="F5" s="136">
        <v>15</v>
      </c>
      <c r="G5" s="136">
        <v>496</v>
      </c>
      <c r="H5" s="136">
        <v>1</v>
      </c>
      <c r="I5" s="136">
        <v>16</v>
      </c>
      <c r="J5" s="136">
        <v>5</v>
      </c>
      <c r="K5" s="136">
        <v>54</v>
      </c>
      <c r="L5" s="136">
        <v>1</v>
      </c>
      <c r="M5" s="136">
        <v>77</v>
      </c>
      <c r="N5" s="136">
        <v>0</v>
      </c>
      <c r="O5" s="136">
        <v>1</v>
      </c>
      <c r="P5" s="136">
        <v>0</v>
      </c>
      <c r="Q5" s="136">
        <v>0</v>
      </c>
      <c r="R5" s="136">
        <v>1</v>
      </c>
      <c r="S5" s="136">
        <v>29</v>
      </c>
      <c r="T5" s="136">
        <v>3</v>
      </c>
      <c r="U5" s="136">
        <v>80</v>
      </c>
      <c r="V5" s="136">
        <v>0</v>
      </c>
      <c r="W5" s="136">
        <v>9</v>
      </c>
    </row>
    <row r="6" spans="1:24" ht="26.25">
      <c r="A6" s="196" t="s">
        <v>519</v>
      </c>
      <c r="B6" s="196" t="s">
        <v>308</v>
      </c>
      <c r="C6" s="196" t="s">
        <v>520</v>
      </c>
      <c r="D6" s="136">
        <v>26</v>
      </c>
      <c r="E6" s="136">
        <v>57</v>
      </c>
      <c r="F6" s="136">
        <v>151</v>
      </c>
      <c r="G6" s="136">
        <v>302</v>
      </c>
      <c r="H6" s="136">
        <v>25</v>
      </c>
      <c r="I6" s="136">
        <v>45</v>
      </c>
      <c r="J6" s="136">
        <v>121</v>
      </c>
      <c r="K6" s="136">
        <v>321</v>
      </c>
      <c r="L6" s="136">
        <v>10</v>
      </c>
      <c r="M6" s="136">
        <v>14</v>
      </c>
      <c r="N6" s="136">
        <v>1</v>
      </c>
      <c r="O6" s="136">
        <v>5</v>
      </c>
      <c r="P6" s="136">
        <v>0</v>
      </c>
      <c r="Q6" s="136">
        <v>0</v>
      </c>
      <c r="R6" s="136">
        <v>0</v>
      </c>
      <c r="S6" s="136">
        <v>2</v>
      </c>
      <c r="T6" s="136">
        <v>9</v>
      </c>
      <c r="U6" s="136">
        <v>26</v>
      </c>
      <c r="V6" s="136">
        <v>8</v>
      </c>
      <c r="W6" s="136">
        <v>33</v>
      </c>
    </row>
    <row r="7" spans="1:24">
      <c r="A7" s="196" t="s">
        <v>519</v>
      </c>
      <c r="B7" s="144" t="s">
        <v>144</v>
      </c>
      <c r="C7" s="144" t="s">
        <v>285</v>
      </c>
      <c r="D7" s="136">
        <v>47</v>
      </c>
      <c r="E7" s="136">
        <v>168</v>
      </c>
      <c r="F7" s="136">
        <v>188</v>
      </c>
      <c r="G7" s="136">
        <v>622</v>
      </c>
      <c r="H7" s="136">
        <v>181</v>
      </c>
      <c r="I7" s="136">
        <v>371</v>
      </c>
      <c r="J7" s="136">
        <v>190</v>
      </c>
      <c r="K7" s="136">
        <v>360</v>
      </c>
      <c r="L7" s="136">
        <v>11</v>
      </c>
      <c r="M7" s="136">
        <v>25</v>
      </c>
      <c r="N7" s="136">
        <v>1</v>
      </c>
      <c r="O7" s="136">
        <v>2</v>
      </c>
      <c r="P7" s="136">
        <v>0</v>
      </c>
      <c r="Q7" s="136">
        <v>0</v>
      </c>
      <c r="R7" s="136">
        <v>6</v>
      </c>
      <c r="S7" s="136">
        <v>65</v>
      </c>
      <c r="T7" s="136">
        <v>34</v>
      </c>
      <c r="U7" s="136">
        <v>138</v>
      </c>
      <c r="V7" s="136">
        <v>6</v>
      </c>
      <c r="W7" s="136">
        <v>11</v>
      </c>
    </row>
    <row r="8" spans="1:24">
      <c r="A8" s="196" t="s">
        <v>519</v>
      </c>
      <c r="B8" s="158" t="s">
        <v>521</v>
      </c>
      <c r="C8" s="144" t="s">
        <v>58</v>
      </c>
      <c r="D8" s="136">
        <v>105</v>
      </c>
      <c r="E8" s="136">
        <v>146</v>
      </c>
      <c r="F8" s="136">
        <v>447</v>
      </c>
      <c r="G8" s="136">
        <v>565</v>
      </c>
      <c r="H8" s="136">
        <v>48</v>
      </c>
      <c r="I8" s="136">
        <v>34</v>
      </c>
      <c r="J8" s="136">
        <v>12</v>
      </c>
      <c r="K8" s="136">
        <v>7</v>
      </c>
      <c r="L8" s="136">
        <v>11</v>
      </c>
      <c r="M8" s="136">
        <v>22</v>
      </c>
      <c r="N8" s="136">
        <v>3</v>
      </c>
      <c r="O8" s="136">
        <v>4</v>
      </c>
      <c r="P8" s="136">
        <v>1</v>
      </c>
      <c r="Q8" s="136">
        <v>1</v>
      </c>
      <c r="R8" s="136">
        <v>0</v>
      </c>
      <c r="S8" s="136">
        <v>0</v>
      </c>
      <c r="T8" s="136">
        <v>52</v>
      </c>
      <c r="U8" s="136">
        <v>62</v>
      </c>
      <c r="V8" s="136">
        <v>66</v>
      </c>
      <c r="W8" s="136">
        <v>34</v>
      </c>
    </row>
    <row r="9" spans="1:24">
      <c r="A9" s="196" t="s">
        <v>517</v>
      </c>
      <c r="B9" s="144" t="s">
        <v>518</v>
      </c>
      <c r="C9" s="144" t="s">
        <v>157</v>
      </c>
      <c r="D9" s="136">
        <v>19</v>
      </c>
      <c r="E9" s="136">
        <v>9</v>
      </c>
      <c r="F9" s="136">
        <v>138</v>
      </c>
      <c r="G9" s="136">
        <v>216</v>
      </c>
      <c r="H9" s="136">
        <v>192</v>
      </c>
      <c r="I9" s="136">
        <v>323</v>
      </c>
      <c r="J9" s="136">
        <v>341</v>
      </c>
      <c r="K9" s="136">
        <v>279</v>
      </c>
      <c r="L9" s="136">
        <v>6</v>
      </c>
      <c r="M9" s="136">
        <v>7</v>
      </c>
      <c r="N9" s="136">
        <v>1</v>
      </c>
      <c r="O9" s="136">
        <v>2</v>
      </c>
      <c r="P9" s="136">
        <v>0</v>
      </c>
      <c r="Q9" s="136">
        <v>0</v>
      </c>
      <c r="R9" s="136">
        <v>0</v>
      </c>
      <c r="S9" s="136">
        <v>0</v>
      </c>
      <c r="T9" s="136">
        <v>37</v>
      </c>
      <c r="U9" s="136">
        <v>36</v>
      </c>
      <c r="V9" s="136">
        <v>5</v>
      </c>
      <c r="W9" s="136">
        <v>8</v>
      </c>
    </row>
    <row r="10" spans="1:24" s="46" customFormat="1">
      <c r="A10" s="197" t="s">
        <v>519</v>
      </c>
      <c r="B10" s="195" t="s">
        <v>522</v>
      </c>
      <c r="C10" s="195" t="s">
        <v>523</v>
      </c>
      <c r="D10" s="138">
        <v>10</v>
      </c>
      <c r="E10" s="138">
        <v>55</v>
      </c>
      <c r="F10" s="138">
        <v>93</v>
      </c>
      <c r="G10" s="138">
        <v>312</v>
      </c>
      <c r="H10" s="138">
        <v>37</v>
      </c>
      <c r="I10" s="138">
        <v>158</v>
      </c>
      <c r="J10" s="138">
        <v>132</v>
      </c>
      <c r="K10" s="138">
        <v>622</v>
      </c>
      <c r="L10" s="138">
        <v>11</v>
      </c>
      <c r="M10" s="138">
        <v>23</v>
      </c>
      <c r="N10" s="138">
        <v>2</v>
      </c>
      <c r="O10" s="138">
        <v>15</v>
      </c>
      <c r="P10" s="138">
        <v>1</v>
      </c>
      <c r="Q10" s="138">
        <v>1</v>
      </c>
      <c r="R10" s="138">
        <v>0</v>
      </c>
      <c r="S10" s="138">
        <v>0</v>
      </c>
      <c r="T10" s="202">
        <v>0</v>
      </c>
      <c r="U10" s="202">
        <v>14</v>
      </c>
      <c r="V10" s="202">
        <v>2</v>
      </c>
      <c r="W10" s="202">
        <v>32</v>
      </c>
    </row>
    <row r="11" spans="1:24">
      <c r="A11" s="196" t="s">
        <v>519</v>
      </c>
      <c r="B11" s="144" t="s">
        <v>524</v>
      </c>
      <c r="C11" s="144" t="s">
        <v>525</v>
      </c>
      <c r="D11" s="136">
        <v>117</v>
      </c>
      <c r="E11" s="136">
        <v>78</v>
      </c>
      <c r="F11" s="136">
        <v>424</v>
      </c>
      <c r="G11" s="136">
        <v>233</v>
      </c>
      <c r="H11" s="136">
        <v>20</v>
      </c>
      <c r="I11" s="136">
        <v>16</v>
      </c>
      <c r="J11" s="136">
        <v>0</v>
      </c>
      <c r="K11" s="136">
        <v>0</v>
      </c>
      <c r="L11" s="136">
        <v>25</v>
      </c>
      <c r="M11" s="136">
        <v>19</v>
      </c>
      <c r="N11" s="136">
        <v>17</v>
      </c>
      <c r="O11" s="136">
        <v>2</v>
      </c>
      <c r="P11" s="136">
        <v>0</v>
      </c>
      <c r="Q11" s="136">
        <v>0</v>
      </c>
      <c r="R11" s="136">
        <v>2</v>
      </c>
      <c r="S11" s="136">
        <v>1</v>
      </c>
      <c r="T11" s="136">
        <v>5</v>
      </c>
      <c r="U11" s="136">
        <v>7</v>
      </c>
      <c r="V11" s="136">
        <v>0</v>
      </c>
      <c r="W11" s="136">
        <v>0</v>
      </c>
    </row>
    <row r="12" spans="1:24">
      <c r="A12" s="196" t="s">
        <v>519</v>
      </c>
      <c r="B12" s="144" t="s">
        <v>524</v>
      </c>
      <c r="C12" s="144" t="s">
        <v>526</v>
      </c>
      <c r="D12" s="136">
        <v>105</v>
      </c>
      <c r="E12" s="136">
        <v>176</v>
      </c>
      <c r="F12" s="136">
        <v>658</v>
      </c>
      <c r="G12" s="136">
        <v>731</v>
      </c>
      <c r="H12" s="136">
        <v>3</v>
      </c>
      <c r="I12" s="136">
        <v>4</v>
      </c>
      <c r="J12" s="136">
        <v>4</v>
      </c>
      <c r="K12" s="136">
        <v>1</v>
      </c>
      <c r="L12" s="136">
        <v>15</v>
      </c>
      <c r="M12" s="136">
        <v>12</v>
      </c>
      <c r="N12" s="136">
        <v>0</v>
      </c>
      <c r="O12" s="136">
        <v>0</v>
      </c>
      <c r="P12" s="136">
        <v>0</v>
      </c>
      <c r="Q12" s="136">
        <v>0</v>
      </c>
      <c r="R12" s="136">
        <v>2</v>
      </c>
      <c r="S12" s="136">
        <v>0</v>
      </c>
      <c r="T12" s="136">
        <v>45</v>
      </c>
      <c r="U12" s="136">
        <v>39</v>
      </c>
      <c r="V12" s="136">
        <v>40</v>
      </c>
      <c r="W12" s="136">
        <v>37</v>
      </c>
    </row>
    <row r="13" spans="1:24" ht="26.25">
      <c r="A13" s="195" t="s">
        <v>517</v>
      </c>
      <c r="B13" s="158" t="s">
        <v>154</v>
      </c>
      <c r="C13" s="158" t="s">
        <v>155</v>
      </c>
      <c r="D13" s="136">
        <v>65</v>
      </c>
      <c r="E13" s="136">
        <v>38</v>
      </c>
      <c r="F13" s="136">
        <v>416</v>
      </c>
      <c r="G13" s="136">
        <v>207</v>
      </c>
      <c r="H13" s="136">
        <v>242</v>
      </c>
      <c r="I13" s="136">
        <v>135</v>
      </c>
      <c r="J13" s="136">
        <v>1193</v>
      </c>
      <c r="K13" s="136">
        <v>760</v>
      </c>
      <c r="L13" s="136">
        <v>17</v>
      </c>
      <c r="M13" s="136">
        <v>20</v>
      </c>
      <c r="N13" s="136">
        <v>3</v>
      </c>
      <c r="O13" s="136">
        <v>1</v>
      </c>
      <c r="P13" s="136">
        <v>0</v>
      </c>
      <c r="Q13" s="136">
        <v>0</v>
      </c>
      <c r="R13" s="136">
        <v>1</v>
      </c>
      <c r="S13" s="136">
        <v>1</v>
      </c>
      <c r="T13" s="136">
        <v>246</v>
      </c>
      <c r="U13" s="136">
        <v>139</v>
      </c>
      <c r="V13" s="136">
        <v>25</v>
      </c>
      <c r="W13" s="136">
        <v>32</v>
      </c>
    </row>
    <row r="14" spans="1:24">
      <c r="A14" s="196" t="s">
        <v>519</v>
      </c>
      <c r="B14" s="158" t="s">
        <v>518</v>
      </c>
      <c r="C14" s="198" t="s">
        <v>246</v>
      </c>
      <c r="D14" s="136">
        <v>40</v>
      </c>
      <c r="E14" s="136">
        <v>99</v>
      </c>
      <c r="F14" s="136">
        <v>177</v>
      </c>
      <c r="G14" s="136">
        <v>403</v>
      </c>
      <c r="H14" s="136">
        <v>102</v>
      </c>
      <c r="I14" s="136">
        <v>165</v>
      </c>
      <c r="J14" s="136">
        <v>289</v>
      </c>
      <c r="K14" s="136">
        <v>399</v>
      </c>
      <c r="L14" s="136">
        <v>8</v>
      </c>
      <c r="M14" s="136">
        <v>18</v>
      </c>
      <c r="N14" s="136">
        <v>4</v>
      </c>
      <c r="O14" s="136">
        <v>8</v>
      </c>
      <c r="P14" s="136">
        <v>0</v>
      </c>
      <c r="Q14" s="136">
        <v>0</v>
      </c>
      <c r="R14" s="136">
        <v>2</v>
      </c>
      <c r="S14" s="136">
        <v>0</v>
      </c>
      <c r="T14" s="136">
        <v>8</v>
      </c>
      <c r="U14" s="136">
        <v>17</v>
      </c>
      <c r="V14" s="136">
        <v>15</v>
      </c>
      <c r="W14" s="136">
        <v>25</v>
      </c>
      <c r="X14" s="47"/>
    </row>
    <row r="15" spans="1:24">
      <c r="A15" s="196" t="s">
        <v>519</v>
      </c>
      <c r="B15" s="158" t="s">
        <v>144</v>
      </c>
      <c r="C15" s="158" t="s">
        <v>527</v>
      </c>
      <c r="D15" s="136">
        <v>24</v>
      </c>
      <c r="E15" s="136">
        <v>106</v>
      </c>
      <c r="F15" s="136">
        <v>101</v>
      </c>
      <c r="G15" s="136">
        <v>464</v>
      </c>
      <c r="H15" s="136">
        <v>45</v>
      </c>
      <c r="I15" s="136">
        <v>158</v>
      </c>
      <c r="J15" s="136">
        <v>96</v>
      </c>
      <c r="K15" s="136">
        <v>324</v>
      </c>
      <c r="L15" s="136">
        <v>8</v>
      </c>
      <c r="M15" s="136">
        <v>13</v>
      </c>
      <c r="N15" s="136">
        <v>2</v>
      </c>
      <c r="O15" s="136">
        <v>4</v>
      </c>
      <c r="P15" s="136">
        <v>0</v>
      </c>
      <c r="Q15" s="136">
        <v>0</v>
      </c>
      <c r="R15" s="136">
        <v>1</v>
      </c>
      <c r="S15" s="136">
        <v>0</v>
      </c>
      <c r="T15" s="136">
        <v>7</v>
      </c>
      <c r="U15" s="136">
        <v>42</v>
      </c>
      <c r="V15" s="136">
        <v>12</v>
      </c>
      <c r="W15" s="136">
        <v>57</v>
      </c>
    </row>
    <row r="16" spans="1:24" s="48" customFormat="1">
      <c r="A16" s="199" t="s">
        <v>519</v>
      </c>
      <c r="B16" s="199" t="s">
        <v>522</v>
      </c>
      <c r="C16" s="199" t="s">
        <v>279</v>
      </c>
      <c r="D16" s="203">
        <v>34</v>
      </c>
      <c r="E16" s="203">
        <v>90</v>
      </c>
      <c r="F16" s="203">
        <v>86</v>
      </c>
      <c r="G16" s="203">
        <v>247</v>
      </c>
      <c r="H16" s="203">
        <v>44</v>
      </c>
      <c r="I16" s="203">
        <v>6</v>
      </c>
      <c r="J16" s="203">
        <v>26</v>
      </c>
      <c r="K16" s="203">
        <v>87</v>
      </c>
      <c r="L16" s="203">
        <v>6</v>
      </c>
      <c r="M16" s="203">
        <v>34</v>
      </c>
      <c r="N16" s="203">
        <v>2</v>
      </c>
      <c r="O16" s="203">
        <v>0</v>
      </c>
      <c r="P16" s="203">
        <v>0</v>
      </c>
      <c r="Q16" s="203">
        <v>0</v>
      </c>
      <c r="R16" s="203">
        <v>0</v>
      </c>
      <c r="S16" s="203">
        <v>0</v>
      </c>
      <c r="T16" s="203">
        <v>31</v>
      </c>
      <c r="U16" s="203">
        <v>148</v>
      </c>
      <c r="V16" s="203">
        <v>13</v>
      </c>
      <c r="W16" s="203">
        <v>55</v>
      </c>
    </row>
    <row r="17" spans="1:23" s="48" customFormat="1">
      <c r="A17" s="199" t="s">
        <v>519</v>
      </c>
      <c r="B17" s="200" t="s">
        <v>524</v>
      </c>
      <c r="C17" s="200" t="s">
        <v>528</v>
      </c>
      <c r="D17" s="203">
        <v>84</v>
      </c>
      <c r="E17" s="203">
        <v>64</v>
      </c>
      <c r="F17" s="203">
        <v>374</v>
      </c>
      <c r="G17" s="203">
        <v>249</v>
      </c>
      <c r="H17" s="203">
        <v>56</v>
      </c>
      <c r="I17" s="203">
        <v>90</v>
      </c>
      <c r="J17" s="203">
        <v>528</v>
      </c>
      <c r="K17" s="203">
        <v>389</v>
      </c>
      <c r="L17" s="203">
        <v>16</v>
      </c>
      <c r="M17" s="203">
        <v>3</v>
      </c>
      <c r="N17" s="203">
        <v>1</v>
      </c>
      <c r="O17" s="203">
        <v>4</v>
      </c>
      <c r="P17" s="203">
        <v>0</v>
      </c>
      <c r="Q17" s="203">
        <v>0</v>
      </c>
      <c r="R17" s="203">
        <v>0</v>
      </c>
      <c r="S17" s="203">
        <v>0</v>
      </c>
      <c r="T17" s="203">
        <v>85</v>
      </c>
      <c r="U17" s="203">
        <v>69</v>
      </c>
      <c r="V17" s="203">
        <v>42</v>
      </c>
      <c r="W17" s="203">
        <v>54</v>
      </c>
    </row>
    <row r="18" spans="1:23" ht="26.25">
      <c r="A18" s="201" t="s">
        <v>517</v>
      </c>
      <c r="B18" s="158" t="s">
        <v>154</v>
      </c>
      <c r="C18" s="158" t="s">
        <v>156</v>
      </c>
      <c r="D18" s="136">
        <v>81</v>
      </c>
      <c r="E18" s="136">
        <v>66</v>
      </c>
      <c r="F18" s="136">
        <v>430</v>
      </c>
      <c r="G18" s="136">
        <v>381</v>
      </c>
      <c r="H18" s="136">
        <v>217</v>
      </c>
      <c r="I18" s="136">
        <v>177</v>
      </c>
      <c r="J18" s="136">
        <v>753</v>
      </c>
      <c r="K18" s="136">
        <v>669</v>
      </c>
      <c r="L18" s="136">
        <v>22</v>
      </c>
      <c r="M18" s="136">
        <v>27</v>
      </c>
      <c r="N18" s="136">
        <v>1</v>
      </c>
      <c r="O18" s="136">
        <v>2</v>
      </c>
      <c r="P18" s="136">
        <v>0</v>
      </c>
      <c r="Q18" s="136">
        <v>0</v>
      </c>
      <c r="R18" s="136">
        <v>7</v>
      </c>
      <c r="S18" s="136">
        <v>2</v>
      </c>
      <c r="T18" s="136">
        <v>27</v>
      </c>
      <c r="U18" s="136">
        <v>45</v>
      </c>
      <c r="V18" s="136">
        <v>8</v>
      </c>
      <c r="W18" s="136">
        <v>22</v>
      </c>
    </row>
    <row r="19" spans="1:23">
      <c r="A19" s="196" t="s">
        <v>519</v>
      </c>
      <c r="B19" s="144" t="s">
        <v>144</v>
      </c>
      <c r="C19" s="144" t="s">
        <v>287</v>
      </c>
      <c r="D19" s="136">
        <v>2</v>
      </c>
      <c r="E19" s="136">
        <v>108</v>
      </c>
      <c r="F19" s="136">
        <v>0</v>
      </c>
      <c r="G19" s="136">
        <v>92</v>
      </c>
      <c r="H19" s="136">
        <v>0</v>
      </c>
      <c r="I19" s="136">
        <v>113</v>
      </c>
      <c r="J19" s="136">
        <v>0</v>
      </c>
      <c r="K19" s="136">
        <v>157</v>
      </c>
      <c r="L19" s="136">
        <v>2</v>
      </c>
      <c r="M19" s="136">
        <v>48</v>
      </c>
      <c r="N19" s="136">
        <v>0</v>
      </c>
      <c r="O19" s="136">
        <v>2</v>
      </c>
      <c r="P19" s="136">
        <v>0</v>
      </c>
      <c r="Q19" s="136">
        <v>1</v>
      </c>
      <c r="R19" s="136">
        <v>0</v>
      </c>
      <c r="S19" s="136">
        <v>0</v>
      </c>
      <c r="T19" s="136">
        <v>1</v>
      </c>
      <c r="U19" s="136">
        <v>123</v>
      </c>
      <c r="V19" s="136">
        <v>2</v>
      </c>
      <c r="W19" s="136">
        <v>108</v>
      </c>
    </row>
    <row r="20" spans="1:23">
      <c r="A20" s="196" t="s">
        <v>519</v>
      </c>
      <c r="B20" s="144" t="s">
        <v>270</v>
      </c>
      <c r="C20" s="158" t="s">
        <v>529</v>
      </c>
      <c r="D20" s="136">
        <v>115</v>
      </c>
      <c r="E20" s="136">
        <v>24</v>
      </c>
      <c r="F20" s="136">
        <v>465</v>
      </c>
      <c r="G20" s="136">
        <v>98</v>
      </c>
      <c r="H20" s="136">
        <v>415</v>
      </c>
      <c r="I20" s="136">
        <v>25</v>
      </c>
      <c r="J20" s="136">
        <v>1081</v>
      </c>
      <c r="K20" s="136">
        <v>78</v>
      </c>
      <c r="L20" s="136">
        <v>42</v>
      </c>
      <c r="M20" s="136">
        <v>9</v>
      </c>
      <c r="N20" s="136">
        <v>13</v>
      </c>
      <c r="O20" s="136">
        <v>0</v>
      </c>
      <c r="P20" s="136">
        <v>3</v>
      </c>
      <c r="Q20" s="136">
        <v>1</v>
      </c>
      <c r="R20" s="136">
        <v>0</v>
      </c>
      <c r="S20" s="136">
        <v>0</v>
      </c>
      <c r="T20" s="136">
        <v>45</v>
      </c>
      <c r="U20" s="136">
        <v>3</v>
      </c>
      <c r="V20" s="136">
        <v>65</v>
      </c>
      <c r="W20" s="136">
        <v>12</v>
      </c>
    </row>
    <row r="21" spans="1:23">
      <c r="A21" s="196" t="s">
        <v>519</v>
      </c>
      <c r="B21" s="144" t="s">
        <v>270</v>
      </c>
      <c r="C21" s="158" t="s">
        <v>530</v>
      </c>
      <c r="D21" s="136">
        <v>29</v>
      </c>
      <c r="E21" s="136">
        <v>30</v>
      </c>
      <c r="F21" s="136">
        <v>159</v>
      </c>
      <c r="G21" s="136">
        <v>132</v>
      </c>
      <c r="H21" s="136">
        <v>49</v>
      </c>
      <c r="I21" s="136">
        <v>44</v>
      </c>
      <c r="J21" s="136">
        <v>243</v>
      </c>
      <c r="K21" s="136">
        <v>161</v>
      </c>
      <c r="L21" s="136">
        <v>6</v>
      </c>
      <c r="M21" s="136">
        <v>6</v>
      </c>
      <c r="N21" s="136">
        <v>0</v>
      </c>
      <c r="O21" s="136">
        <v>2</v>
      </c>
      <c r="P21" s="136">
        <v>0</v>
      </c>
      <c r="Q21" s="136">
        <v>0</v>
      </c>
      <c r="R21" s="136">
        <v>0</v>
      </c>
      <c r="S21" s="136">
        <v>0</v>
      </c>
      <c r="T21" s="136">
        <v>11</v>
      </c>
      <c r="U21" s="136">
        <v>20</v>
      </c>
      <c r="V21" s="136">
        <v>22</v>
      </c>
      <c r="W21" s="136">
        <v>11</v>
      </c>
    </row>
    <row r="22" spans="1:23">
      <c r="A22" s="196" t="s">
        <v>519</v>
      </c>
      <c r="B22" s="144" t="s">
        <v>270</v>
      </c>
      <c r="C22" s="144" t="s">
        <v>531</v>
      </c>
      <c r="D22" s="136">
        <v>198</v>
      </c>
      <c r="E22" s="136">
        <v>32</v>
      </c>
      <c r="F22" s="136">
        <v>722</v>
      </c>
      <c r="G22" s="136">
        <v>102</v>
      </c>
      <c r="H22" s="136">
        <v>1187</v>
      </c>
      <c r="I22" s="136">
        <v>155</v>
      </c>
      <c r="J22" s="136">
        <v>1047</v>
      </c>
      <c r="K22" s="136">
        <v>139</v>
      </c>
      <c r="L22" s="136">
        <v>94</v>
      </c>
      <c r="M22" s="136">
        <v>7</v>
      </c>
      <c r="N22" s="136">
        <v>24</v>
      </c>
      <c r="O22" s="136">
        <v>4</v>
      </c>
      <c r="P22" s="136">
        <v>4</v>
      </c>
      <c r="Q22" s="136">
        <v>0</v>
      </c>
      <c r="R22" s="136">
        <v>3</v>
      </c>
      <c r="S22" s="136">
        <v>1</v>
      </c>
      <c r="T22" s="136">
        <v>72</v>
      </c>
      <c r="U22" s="136">
        <v>18</v>
      </c>
      <c r="V22" s="136">
        <v>41</v>
      </c>
      <c r="W22" s="136">
        <v>10</v>
      </c>
    </row>
    <row r="23" spans="1:23">
      <c r="A23" s="196" t="s">
        <v>519</v>
      </c>
      <c r="B23" s="144" t="s">
        <v>270</v>
      </c>
      <c r="C23" s="144" t="s">
        <v>532</v>
      </c>
      <c r="D23" s="136">
        <v>146</v>
      </c>
      <c r="E23" s="136">
        <v>20</v>
      </c>
      <c r="F23" s="136">
        <v>290</v>
      </c>
      <c r="G23" s="136">
        <v>59</v>
      </c>
      <c r="H23" s="136">
        <v>188</v>
      </c>
      <c r="I23" s="136">
        <v>30</v>
      </c>
      <c r="J23" s="136">
        <v>936</v>
      </c>
      <c r="K23" s="136">
        <v>259</v>
      </c>
      <c r="L23" s="136">
        <v>88</v>
      </c>
      <c r="M23" s="136">
        <v>7</v>
      </c>
      <c r="N23" s="136">
        <v>7</v>
      </c>
      <c r="O23" s="136">
        <v>0</v>
      </c>
      <c r="P23" s="136">
        <v>0</v>
      </c>
      <c r="Q23" s="136">
        <v>1</v>
      </c>
      <c r="R23" s="136">
        <v>0</v>
      </c>
      <c r="S23" s="136">
        <v>0</v>
      </c>
      <c r="T23" s="136">
        <v>6</v>
      </c>
      <c r="U23" s="136">
        <v>2</v>
      </c>
      <c r="V23" s="136">
        <v>33</v>
      </c>
      <c r="W23" s="136">
        <v>8</v>
      </c>
    </row>
    <row r="24" spans="1:23">
      <c r="A24" s="196" t="s">
        <v>519</v>
      </c>
      <c r="B24" s="144" t="s">
        <v>533</v>
      </c>
      <c r="C24" s="144" t="s">
        <v>534</v>
      </c>
      <c r="D24" s="136">
        <v>8</v>
      </c>
      <c r="E24" s="136">
        <v>5</v>
      </c>
      <c r="F24" s="136">
        <v>170</v>
      </c>
      <c r="G24" s="136">
        <v>118</v>
      </c>
      <c r="H24" s="136">
        <v>171</v>
      </c>
      <c r="I24" s="136">
        <v>118</v>
      </c>
      <c r="J24" s="136">
        <v>713</v>
      </c>
      <c r="K24" s="136">
        <v>389</v>
      </c>
      <c r="L24" s="136">
        <v>5</v>
      </c>
      <c r="M24" s="136">
        <v>2</v>
      </c>
      <c r="N24" s="136">
        <v>0</v>
      </c>
      <c r="O24" s="136">
        <v>1</v>
      </c>
      <c r="P24" s="136">
        <v>1</v>
      </c>
      <c r="Q24" s="136">
        <v>0</v>
      </c>
      <c r="R24" s="136">
        <v>0</v>
      </c>
      <c r="S24" s="136">
        <v>0</v>
      </c>
      <c r="T24" s="136">
        <v>1</v>
      </c>
      <c r="U24" s="136">
        <v>7</v>
      </c>
      <c r="V24" s="136">
        <v>15</v>
      </c>
      <c r="W24" s="136">
        <v>16</v>
      </c>
    </row>
    <row r="25" spans="1:23">
      <c r="A25" s="196" t="s">
        <v>519</v>
      </c>
      <c r="B25" s="144" t="s">
        <v>533</v>
      </c>
      <c r="C25" s="144" t="s">
        <v>535</v>
      </c>
      <c r="D25" s="136">
        <v>94</v>
      </c>
      <c r="E25" s="136">
        <v>12</v>
      </c>
      <c r="F25" s="136">
        <v>356</v>
      </c>
      <c r="G25" s="136">
        <v>52</v>
      </c>
      <c r="H25" s="136">
        <v>238</v>
      </c>
      <c r="I25" s="136">
        <v>24</v>
      </c>
      <c r="J25" s="136">
        <v>870</v>
      </c>
      <c r="K25" s="136">
        <v>0</v>
      </c>
      <c r="L25" s="136">
        <v>24</v>
      </c>
      <c r="M25" s="136">
        <v>5</v>
      </c>
      <c r="N25" s="136">
        <v>12</v>
      </c>
      <c r="O25" s="136">
        <v>0</v>
      </c>
      <c r="P25" s="136">
        <v>1</v>
      </c>
      <c r="Q25" s="136">
        <v>0</v>
      </c>
      <c r="R25" s="136">
        <v>0</v>
      </c>
      <c r="S25" s="136">
        <v>0</v>
      </c>
      <c r="T25" s="136">
        <v>24</v>
      </c>
      <c r="U25" s="136">
        <v>6</v>
      </c>
      <c r="V25" s="136">
        <v>41</v>
      </c>
      <c r="W25" s="136">
        <v>1</v>
      </c>
    </row>
    <row r="26" spans="1:23">
      <c r="A26" s="196" t="s">
        <v>519</v>
      </c>
      <c r="B26" s="144" t="s">
        <v>144</v>
      </c>
      <c r="C26" s="144" t="s">
        <v>288</v>
      </c>
      <c r="D26" s="136">
        <v>41</v>
      </c>
      <c r="E26" s="136">
        <v>117</v>
      </c>
      <c r="F26" s="136">
        <v>130</v>
      </c>
      <c r="G26" s="136">
        <v>417</v>
      </c>
      <c r="H26" s="136">
        <v>18</v>
      </c>
      <c r="I26" s="136">
        <v>59</v>
      </c>
      <c r="J26" s="136">
        <v>83</v>
      </c>
      <c r="K26" s="136">
        <v>211</v>
      </c>
      <c r="L26" s="136">
        <v>8</v>
      </c>
      <c r="M26" s="136">
        <v>33</v>
      </c>
      <c r="N26" s="136">
        <v>4</v>
      </c>
      <c r="O26" s="136">
        <v>12</v>
      </c>
      <c r="P26" s="136">
        <v>0</v>
      </c>
      <c r="Q26" s="136">
        <v>0</v>
      </c>
      <c r="R26" s="136">
        <v>9</v>
      </c>
      <c r="S26" s="136">
        <v>36</v>
      </c>
      <c r="T26" s="136">
        <v>13</v>
      </c>
      <c r="U26" s="136">
        <v>83</v>
      </c>
      <c r="V26" s="136">
        <v>8</v>
      </c>
      <c r="W26" s="136">
        <v>26</v>
      </c>
    </row>
    <row r="27" spans="1:23">
      <c r="A27" s="144" t="s">
        <v>517</v>
      </c>
      <c r="B27" s="144" t="s">
        <v>144</v>
      </c>
      <c r="C27" s="144" t="s">
        <v>159</v>
      </c>
      <c r="D27" s="136">
        <v>5</v>
      </c>
      <c r="E27" s="136">
        <v>15</v>
      </c>
      <c r="F27" s="136">
        <v>25</v>
      </c>
      <c r="G27" s="136">
        <v>98</v>
      </c>
      <c r="H27" s="136">
        <v>42</v>
      </c>
      <c r="I27" s="136">
        <v>136</v>
      </c>
      <c r="J27" s="136">
        <v>25</v>
      </c>
      <c r="K27" s="136">
        <v>65</v>
      </c>
      <c r="L27" s="136">
        <v>2</v>
      </c>
      <c r="M27" s="136">
        <v>18</v>
      </c>
      <c r="N27" s="136">
        <v>0</v>
      </c>
      <c r="O27" s="136">
        <v>4</v>
      </c>
      <c r="P27" s="136">
        <v>0</v>
      </c>
      <c r="Q27" s="136">
        <v>0</v>
      </c>
      <c r="R27" s="136">
        <v>0</v>
      </c>
      <c r="S27" s="136">
        <v>2</v>
      </c>
      <c r="T27" s="136">
        <v>5</v>
      </c>
      <c r="U27" s="136">
        <v>50</v>
      </c>
      <c r="V27" s="136">
        <v>5</v>
      </c>
      <c r="W27" s="136">
        <v>7</v>
      </c>
    </row>
    <row r="28" spans="1:23">
      <c r="A28" s="144" t="s">
        <v>536</v>
      </c>
      <c r="B28" s="144" t="s">
        <v>537</v>
      </c>
      <c r="C28" s="144" t="s">
        <v>38</v>
      </c>
      <c r="D28" s="136">
        <v>143</v>
      </c>
      <c r="E28" s="136">
        <v>114</v>
      </c>
      <c r="F28" s="136">
        <v>548</v>
      </c>
      <c r="G28" s="136">
        <v>429</v>
      </c>
      <c r="H28" s="136">
        <v>246</v>
      </c>
      <c r="I28" s="136">
        <v>111</v>
      </c>
      <c r="J28" s="136">
        <v>898</v>
      </c>
      <c r="K28" s="136">
        <v>781</v>
      </c>
      <c r="L28" s="136">
        <v>35</v>
      </c>
      <c r="M28" s="136">
        <v>11</v>
      </c>
      <c r="N28" s="136">
        <v>7</v>
      </c>
      <c r="O28" s="136">
        <v>3</v>
      </c>
      <c r="P28" s="136">
        <v>1</v>
      </c>
      <c r="Q28" s="136">
        <v>0</v>
      </c>
      <c r="R28" s="136">
        <v>2</v>
      </c>
      <c r="S28" s="136">
        <v>4</v>
      </c>
      <c r="T28" s="136">
        <v>61</v>
      </c>
      <c r="U28" s="136">
        <v>67</v>
      </c>
      <c r="V28" s="136">
        <v>36</v>
      </c>
      <c r="W28" s="136">
        <v>26</v>
      </c>
    </row>
    <row r="29" spans="1:23">
      <c r="A29" s="144" t="s">
        <v>536</v>
      </c>
      <c r="B29" s="144" t="s">
        <v>537</v>
      </c>
      <c r="C29" s="144" t="s">
        <v>538</v>
      </c>
      <c r="D29" s="136">
        <v>140</v>
      </c>
      <c r="E29" s="136">
        <v>116</v>
      </c>
      <c r="F29" s="136">
        <v>591</v>
      </c>
      <c r="G29" s="136">
        <v>485</v>
      </c>
      <c r="H29" s="136">
        <v>99</v>
      </c>
      <c r="I29" s="136">
        <v>83</v>
      </c>
      <c r="J29" s="136">
        <v>1311</v>
      </c>
      <c r="K29" s="136">
        <v>972</v>
      </c>
      <c r="L29" s="136">
        <v>20</v>
      </c>
      <c r="M29" s="136">
        <v>14</v>
      </c>
      <c r="N29" s="136">
        <v>9</v>
      </c>
      <c r="O29" s="136">
        <v>6</v>
      </c>
      <c r="P29" s="136">
        <v>0</v>
      </c>
      <c r="Q29" s="136">
        <v>1</v>
      </c>
      <c r="R29" s="136">
        <v>7</v>
      </c>
      <c r="S29" s="136">
        <v>12</v>
      </c>
      <c r="T29" s="136">
        <v>23</v>
      </c>
      <c r="U29" s="136">
        <v>28</v>
      </c>
      <c r="V29" s="136">
        <v>49</v>
      </c>
      <c r="W29" s="136">
        <v>28</v>
      </c>
    </row>
    <row r="30" spans="1:23">
      <c r="A30" s="144" t="s">
        <v>517</v>
      </c>
      <c r="B30" s="144" t="s">
        <v>152</v>
      </c>
      <c r="C30" s="144" t="s">
        <v>33</v>
      </c>
      <c r="D30" s="136">
        <v>187</v>
      </c>
      <c r="E30" s="136">
        <v>36</v>
      </c>
      <c r="F30" s="136">
        <v>663</v>
      </c>
      <c r="G30" s="136">
        <v>148</v>
      </c>
      <c r="H30" s="136">
        <v>460</v>
      </c>
      <c r="I30" s="136">
        <v>53</v>
      </c>
      <c r="J30" s="136">
        <v>762</v>
      </c>
      <c r="K30" s="136">
        <v>184</v>
      </c>
      <c r="L30" s="136">
        <v>156</v>
      </c>
      <c r="M30" s="136">
        <v>39</v>
      </c>
      <c r="N30" s="136">
        <v>5</v>
      </c>
      <c r="O30" s="136">
        <v>1</v>
      </c>
      <c r="P30" s="136">
        <v>3</v>
      </c>
      <c r="Q30" s="136">
        <v>2</v>
      </c>
      <c r="R30" s="136">
        <v>0</v>
      </c>
      <c r="S30" s="136">
        <v>0</v>
      </c>
      <c r="T30" s="136">
        <v>21</v>
      </c>
      <c r="U30" s="136">
        <v>7</v>
      </c>
      <c r="V30" s="136">
        <v>37</v>
      </c>
      <c r="W30" s="136">
        <v>14</v>
      </c>
    </row>
    <row r="31" spans="1:23">
      <c r="A31" s="144" t="s">
        <v>519</v>
      </c>
      <c r="B31" s="144" t="s">
        <v>533</v>
      </c>
      <c r="C31" s="144" t="s">
        <v>55</v>
      </c>
      <c r="D31" s="136">
        <v>24</v>
      </c>
      <c r="E31" s="136">
        <v>17</v>
      </c>
      <c r="F31" s="136">
        <v>123</v>
      </c>
      <c r="G31" s="136">
        <v>78</v>
      </c>
      <c r="H31" s="136">
        <v>68</v>
      </c>
      <c r="I31" s="136">
        <v>67</v>
      </c>
      <c r="J31" s="136">
        <v>689</v>
      </c>
      <c r="K31" s="136">
        <v>386</v>
      </c>
      <c r="L31" s="136">
        <v>10</v>
      </c>
      <c r="M31" s="136">
        <v>11</v>
      </c>
      <c r="N31" s="136">
        <v>6</v>
      </c>
      <c r="O31" s="136">
        <v>2</v>
      </c>
      <c r="P31" s="136">
        <v>1</v>
      </c>
      <c r="Q31" s="136">
        <v>0</v>
      </c>
      <c r="R31" s="136">
        <v>0</v>
      </c>
      <c r="S31" s="136">
        <v>0</v>
      </c>
      <c r="T31" s="136">
        <v>0</v>
      </c>
      <c r="U31" s="136">
        <v>0</v>
      </c>
      <c r="V31" s="136">
        <v>21</v>
      </c>
      <c r="W31" s="136">
        <v>31</v>
      </c>
    </row>
    <row r="32" spans="1:23">
      <c r="A32" s="144" t="s">
        <v>517</v>
      </c>
      <c r="B32" s="144" t="s">
        <v>152</v>
      </c>
      <c r="C32" s="144" t="s">
        <v>34</v>
      </c>
      <c r="D32" s="136">
        <v>14</v>
      </c>
      <c r="E32" s="136">
        <v>11</v>
      </c>
      <c r="F32" s="136">
        <v>159</v>
      </c>
      <c r="G32" s="136">
        <v>130</v>
      </c>
      <c r="H32" s="136">
        <v>370</v>
      </c>
      <c r="I32" s="136">
        <v>67</v>
      </c>
      <c r="J32" s="136">
        <v>925</v>
      </c>
      <c r="K32" s="136">
        <v>80</v>
      </c>
      <c r="L32" s="136">
        <v>6</v>
      </c>
      <c r="M32" s="136">
        <v>3</v>
      </c>
      <c r="N32" s="136">
        <v>1</v>
      </c>
      <c r="O32" s="136">
        <v>0</v>
      </c>
      <c r="P32" s="136">
        <v>1</v>
      </c>
      <c r="Q32" s="136">
        <v>1</v>
      </c>
      <c r="R32" s="136">
        <v>0</v>
      </c>
      <c r="S32" s="136">
        <v>0</v>
      </c>
      <c r="T32" s="136">
        <v>34</v>
      </c>
      <c r="U32" s="136">
        <v>5</v>
      </c>
      <c r="V32" s="136">
        <v>67</v>
      </c>
      <c r="W32" s="136">
        <v>3</v>
      </c>
    </row>
    <row r="33" spans="1:23">
      <c r="A33" s="144" t="s">
        <v>519</v>
      </c>
      <c r="B33" s="144" t="s">
        <v>144</v>
      </c>
      <c r="C33" s="144" t="s">
        <v>289</v>
      </c>
      <c r="D33" s="136">
        <v>107</v>
      </c>
      <c r="E33" s="136">
        <v>89</v>
      </c>
      <c r="F33" s="136">
        <v>324</v>
      </c>
      <c r="G33" s="136">
        <v>300</v>
      </c>
      <c r="H33" s="136">
        <v>143</v>
      </c>
      <c r="I33" s="136">
        <v>149</v>
      </c>
      <c r="J33" s="136">
        <v>129</v>
      </c>
      <c r="K33" s="136">
        <v>159</v>
      </c>
      <c r="L33" s="136">
        <v>17</v>
      </c>
      <c r="M33" s="136">
        <v>24</v>
      </c>
      <c r="N33" s="136">
        <v>9</v>
      </c>
      <c r="O33" s="136">
        <v>8</v>
      </c>
      <c r="P33" s="136">
        <v>0</v>
      </c>
      <c r="Q33" s="136">
        <v>0</v>
      </c>
      <c r="R33" s="136">
        <v>0</v>
      </c>
      <c r="S33" s="136">
        <v>0</v>
      </c>
      <c r="T33" s="136">
        <v>76</v>
      </c>
      <c r="U33" s="136">
        <v>103</v>
      </c>
      <c r="V33" s="136">
        <v>5</v>
      </c>
      <c r="W33" s="136">
        <v>2</v>
      </c>
    </row>
    <row r="34" spans="1:23">
      <c r="A34" s="144" t="s">
        <v>517</v>
      </c>
      <c r="B34" s="144" t="s">
        <v>152</v>
      </c>
      <c r="C34" s="144" t="s">
        <v>35</v>
      </c>
      <c r="D34" s="136">
        <v>55</v>
      </c>
      <c r="E34" s="136">
        <v>27</v>
      </c>
      <c r="F34" s="136">
        <v>151</v>
      </c>
      <c r="G34" s="136">
        <v>293</v>
      </c>
      <c r="H34" s="136">
        <v>327</v>
      </c>
      <c r="I34" s="136">
        <v>99</v>
      </c>
      <c r="J34" s="136">
        <v>1399</v>
      </c>
      <c r="K34" s="136">
        <v>286</v>
      </c>
      <c r="L34" s="136">
        <v>29</v>
      </c>
      <c r="M34" s="136">
        <v>52</v>
      </c>
      <c r="N34" s="136">
        <v>2</v>
      </c>
      <c r="O34" s="136">
        <v>2</v>
      </c>
      <c r="P34" s="136">
        <v>0</v>
      </c>
      <c r="Q34" s="136">
        <v>0</v>
      </c>
      <c r="R34" s="136">
        <v>1</v>
      </c>
      <c r="S34" s="136">
        <v>0</v>
      </c>
      <c r="T34" s="136">
        <v>112</v>
      </c>
      <c r="U34" s="136">
        <v>72</v>
      </c>
      <c r="V34" s="136">
        <v>97</v>
      </c>
      <c r="W34" s="136">
        <v>4</v>
      </c>
    </row>
    <row r="35" spans="1:23">
      <c r="A35" s="144"/>
      <c r="B35" s="144"/>
      <c r="C35" s="144"/>
      <c r="D35" s="136">
        <f>SUM(D4:D34)</f>
        <v>2097</v>
      </c>
      <c r="E35" s="136">
        <f t="shared" ref="E35:W35" si="0">SUM(E4:E34)</f>
        <v>2102</v>
      </c>
      <c r="F35" s="136">
        <f t="shared" si="0"/>
        <v>8728</v>
      </c>
      <c r="G35" s="136">
        <f t="shared" si="0"/>
        <v>8770</v>
      </c>
      <c r="H35" s="136">
        <f t="shared" si="0"/>
        <v>5290</v>
      </c>
      <c r="I35" s="136">
        <f t="shared" si="0"/>
        <v>3106</v>
      </c>
      <c r="J35" s="136">
        <f t="shared" si="0"/>
        <v>14900</v>
      </c>
      <c r="K35" s="136">
        <f t="shared" si="0"/>
        <v>8667</v>
      </c>
      <c r="L35" s="136">
        <f t="shared" si="0"/>
        <v>719</v>
      </c>
      <c r="M35" s="136">
        <f t="shared" si="0"/>
        <v>615</v>
      </c>
      <c r="N35" s="136">
        <f t="shared" si="0"/>
        <v>150</v>
      </c>
      <c r="O35" s="136">
        <f t="shared" si="0"/>
        <v>101</v>
      </c>
      <c r="P35" s="136">
        <f t="shared" si="0"/>
        <v>17</v>
      </c>
      <c r="Q35" s="136">
        <f t="shared" si="0"/>
        <v>9</v>
      </c>
      <c r="R35" s="136">
        <f t="shared" si="0"/>
        <v>77</v>
      </c>
      <c r="S35" s="136">
        <f t="shared" si="0"/>
        <v>217</v>
      </c>
      <c r="T35" s="136">
        <f t="shared" si="0"/>
        <v>1116</v>
      </c>
      <c r="U35" s="136">
        <f t="shared" si="0"/>
        <v>1498</v>
      </c>
      <c r="V35" s="136">
        <f t="shared" si="0"/>
        <v>797</v>
      </c>
      <c r="W35" s="136">
        <f t="shared" si="0"/>
        <v>736</v>
      </c>
    </row>
  </sheetData>
  <mergeCells count="11">
    <mergeCell ref="V2:W2"/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ageMargins left="0.7" right="0.7" top="0.75" bottom="0.75" header="0.3" footer="0.3"/>
  <pageSetup paperSize="9" scale="5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opLeftCell="A25" workbookViewId="0">
      <selection activeCell="X25" sqref="X1:X1048576"/>
    </sheetView>
  </sheetViews>
  <sheetFormatPr defaultColWidth="7.7109375" defaultRowHeight="61.5" customHeight="1"/>
  <cols>
    <col min="1" max="1" width="15.7109375" customWidth="1"/>
    <col min="2" max="2" width="13.7109375" customWidth="1"/>
    <col min="3" max="3" width="15" customWidth="1"/>
    <col min="4" max="23" width="5.85546875" customWidth="1"/>
  </cols>
  <sheetData>
    <row r="1" spans="1:23" ht="61.5" customHeight="1">
      <c r="A1" s="320" t="s">
        <v>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61.5" customHeight="1">
      <c r="A2" s="22" t="s">
        <v>0</v>
      </c>
      <c r="B2" s="22" t="s">
        <v>4</v>
      </c>
      <c r="C2" s="22" t="s">
        <v>1</v>
      </c>
      <c r="D2" s="311" t="s">
        <v>5</v>
      </c>
      <c r="E2" s="321"/>
      <c r="F2" s="325" t="s">
        <v>2</v>
      </c>
      <c r="G2" s="321"/>
      <c r="H2" s="311" t="s">
        <v>10</v>
      </c>
      <c r="I2" s="321"/>
      <c r="J2" s="326" t="s">
        <v>11</v>
      </c>
      <c r="K2" s="321"/>
      <c r="L2" s="326" t="s">
        <v>9</v>
      </c>
      <c r="M2" s="327"/>
      <c r="N2" s="326" t="s">
        <v>14</v>
      </c>
      <c r="O2" s="327"/>
      <c r="P2" s="326" t="s">
        <v>15</v>
      </c>
      <c r="Q2" s="327"/>
      <c r="R2" s="311" t="s">
        <v>3</v>
      </c>
      <c r="S2" s="321"/>
      <c r="T2" s="311" t="s">
        <v>12</v>
      </c>
      <c r="U2" s="321"/>
      <c r="V2" s="311" t="s">
        <v>13</v>
      </c>
      <c r="W2" s="319"/>
    </row>
    <row r="3" spans="1:23" ht="61.5" customHeight="1">
      <c r="A3" s="205"/>
      <c r="B3" s="205"/>
      <c r="C3" s="205"/>
      <c r="D3" s="205" t="s">
        <v>6</v>
      </c>
      <c r="E3" s="205" t="s">
        <v>7</v>
      </c>
      <c r="F3" s="205" t="s">
        <v>6</v>
      </c>
      <c r="G3" s="205" t="s">
        <v>7</v>
      </c>
      <c r="H3" s="205" t="s">
        <v>6</v>
      </c>
      <c r="I3" s="205" t="s">
        <v>7</v>
      </c>
      <c r="J3" s="205" t="s">
        <v>6</v>
      </c>
      <c r="K3" s="205" t="s">
        <v>7</v>
      </c>
      <c r="L3" s="205" t="s">
        <v>6</v>
      </c>
      <c r="M3" s="205" t="s">
        <v>7</v>
      </c>
      <c r="N3" s="205" t="s">
        <v>6</v>
      </c>
      <c r="O3" s="205" t="s">
        <v>7</v>
      </c>
      <c r="P3" s="205" t="s">
        <v>6</v>
      </c>
      <c r="Q3" s="205" t="s">
        <v>7</v>
      </c>
      <c r="R3" s="205" t="s">
        <v>6</v>
      </c>
      <c r="S3" s="205" t="s">
        <v>7</v>
      </c>
      <c r="T3" s="205" t="s">
        <v>6</v>
      </c>
      <c r="U3" s="205" t="s">
        <v>7</v>
      </c>
      <c r="V3" s="205" t="s">
        <v>6</v>
      </c>
      <c r="W3" s="206" t="s">
        <v>7</v>
      </c>
    </row>
    <row r="4" spans="1:23" ht="61.5" customHeight="1">
      <c r="A4" s="73" t="s">
        <v>160</v>
      </c>
      <c r="B4" s="73" t="s">
        <v>128</v>
      </c>
      <c r="C4" s="73" t="s">
        <v>22</v>
      </c>
      <c r="D4" s="134">
        <v>160</v>
      </c>
      <c r="E4" s="134">
        <v>317</v>
      </c>
      <c r="F4" s="134">
        <v>462</v>
      </c>
      <c r="G4" s="134">
        <v>1054</v>
      </c>
      <c r="H4" s="134">
        <v>102</v>
      </c>
      <c r="I4" s="134">
        <v>221</v>
      </c>
      <c r="J4" s="134">
        <v>774</v>
      </c>
      <c r="K4" s="134">
        <v>1071</v>
      </c>
      <c r="L4" s="134">
        <v>64</v>
      </c>
      <c r="M4" s="134">
        <v>154</v>
      </c>
      <c r="N4" s="134">
        <v>0</v>
      </c>
      <c r="O4" s="134">
        <v>2</v>
      </c>
      <c r="P4" s="134">
        <v>1</v>
      </c>
      <c r="Q4" s="134">
        <v>0</v>
      </c>
      <c r="R4" s="134">
        <v>0</v>
      </c>
      <c r="S4" s="134">
        <v>0</v>
      </c>
      <c r="T4" s="134">
        <v>95</v>
      </c>
      <c r="U4" s="134">
        <v>273</v>
      </c>
      <c r="V4" s="134">
        <v>5</v>
      </c>
      <c r="W4" s="204">
        <v>14</v>
      </c>
    </row>
    <row r="5" spans="1:23" ht="61.5" customHeight="1">
      <c r="A5" s="73" t="s">
        <v>160</v>
      </c>
      <c r="B5" s="73" t="s">
        <v>129</v>
      </c>
      <c r="C5" s="73" t="s">
        <v>130</v>
      </c>
      <c r="D5" s="134">
        <v>296</v>
      </c>
      <c r="E5" s="134">
        <v>180</v>
      </c>
      <c r="F5" s="134">
        <v>856</v>
      </c>
      <c r="G5" s="134">
        <v>539</v>
      </c>
      <c r="H5" s="134">
        <v>140</v>
      </c>
      <c r="I5" s="134">
        <v>61</v>
      </c>
      <c r="J5" s="134">
        <v>404</v>
      </c>
      <c r="K5" s="134">
        <v>122</v>
      </c>
      <c r="L5" s="134">
        <v>70</v>
      </c>
      <c r="M5" s="134">
        <v>53</v>
      </c>
      <c r="N5" s="134">
        <v>13</v>
      </c>
      <c r="O5" s="134">
        <v>4</v>
      </c>
      <c r="P5" s="134">
        <v>0</v>
      </c>
      <c r="Q5" s="134">
        <v>0</v>
      </c>
      <c r="R5" s="134">
        <v>35</v>
      </c>
      <c r="S5" s="134">
        <v>23</v>
      </c>
      <c r="T5" s="134">
        <v>175</v>
      </c>
      <c r="U5" s="134">
        <v>105</v>
      </c>
      <c r="V5" s="134">
        <v>65</v>
      </c>
      <c r="W5" s="204">
        <v>15</v>
      </c>
    </row>
    <row r="6" spans="1:23" ht="61.5" customHeight="1">
      <c r="A6" s="73" t="s">
        <v>160</v>
      </c>
      <c r="B6" s="73" t="s">
        <v>131</v>
      </c>
      <c r="C6" s="73" t="s">
        <v>132</v>
      </c>
      <c r="D6" s="134">
        <v>6</v>
      </c>
      <c r="E6" s="134">
        <v>28</v>
      </c>
      <c r="F6" s="134">
        <v>68</v>
      </c>
      <c r="G6" s="134">
        <v>280</v>
      </c>
      <c r="H6" s="134">
        <v>42</v>
      </c>
      <c r="I6" s="134">
        <v>91</v>
      </c>
      <c r="J6" s="134">
        <v>110</v>
      </c>
      <c r="K6" s="134">
        <v>371</v>
      </c>
      <c r="L6" s="134">
        <v>1</v>
      </c>
      <c r="M6" s="134">
        <v>11</v>
      </c>
      <c r="N6" s="134">
        <v>3</v>
      </c>
      <c r="O6" s="134">
        <v>1</v>
      </c>
      <c r="P6" s="134">
        <v>0</v>
      </c>
      <c r="Q6" s="134">
        <v>0</v>
      </c>
      <c r="R6" s="134">
        <v>0</v>
      </c>
      <c r="S6" s="134">
        <v>1</v>
      </c>
      <c r="T6" s="134">
        <v>12</v>
      </c>
      <c r="U6" s="134">
        <v>41</v>
      </c>
      <c r="V6" s="134">
        <v>4</v>
      </c>
      <c r="W6" s="204">
        <v>18</v>
      </c>
    </row>
    <row r="7" spans="1:23" ht="61.5" customHeight="1">
      <c r="A7" s="73" t="s">
        <v>160</v>
      </c>
      <c r="B7" s="73" t="s">
        <v>131</v>
      </c>
      <c r="C7" s="73" t="s">
        <v>133</v>
      </c>
      <c r="D7" s="134">
        <v>19</v>
      </c>
      <c r="E7" s="134">
        <v>104</v>
      </c>
      <c r="F7" s="134">
        <v>99</v>
      </c>
      <c r="G7" s="134">
        <v>436</v>
      </c>
      <c r="H7" s="134">
        <v>17</v>
      </c>
      <c r="I7" s="134">
        <v>33</v>
      </c>
      <c r="J7" s="134">
        <v>116</v>
      </c>
      <c r="K7" s="134">
        <v>469</v>
      </c>
      <c r="L7" s="134">
        <v>14</v>
      </c>
      <c r="M7" s="134">
        <v>32</v>
      </c>
      <c r="N7" s="134">
        <v>1</v>
      </c>
      <c r="O7" s="134">
        <v>3</v>
      </c>
      <c r="P7" s="134">
        <v>0</v>
      </c>
      <c r="Q7" s="134">
        <v>0</v>
      </c>
      <c r="R7" s="134">
        <v>2</v>
      </c>
      <c r="S7" s="134">
        <v>23</v>
      </c>
      <c r="T7" s="134">
        <v>12</v>
      </c>
      <c r="U7" s="134">
        <v>43</v>
      </c>
      <c r="V7" s="134">
        <v>1</v>
      </c>
      <c r="W7" s="204">
        <v>10</v>
      </c>
    </row>
    <row r="8" spans="1:23" ht="61.5" customHeight="1">
      <c r="A8" s="73" t="s">
        <v>160</v>
      </c>
      <c r="B8" s="73" t="s">
        <v>131</v>
      </c>
      <c r="C8" s="73" t="s">
        <v>134</v>
      </c>
      <c r="D8" s="134">
        <v>22</v>
      </c>
      <c r="E8" s="134">
        <v>34</v>
      </c>
      <c r="F8" s="134">
        <v>173</v>
      </c>
      <c r="G8" s="134">
        <v>304</v>
      </c>
      <c r="H8" s="134">
        <v>63</v>
      </c>
      <c r="I8" s="134">
        <v>81</v>
      </c>
      <c r="J8" s="134">
        <v>168</v>
      </c>
      <c r="K8" s="134">
        <v>284</v>
      </c>
      <c r="L8" s="134">
        <v>11</v>
      </c>
      <c r="M8" s="134">
        <v>14</v>
      </c>
      <c r="N8" s="134">
        <v>0</v>
      </c>
      <c r="O8" s="134">
        <v>0</v>
      </c>
      <c r="P8" s="134">
        <v>1</v>
      </c>
      <c r="Q8" s="134"/>
      <c r="R8" s="134">
        <v>8</v>
      </c>
      <c r="S8" s="134">
        <v>14</v>
      </c>
      <c r="T8" s="134">
        <v>22</v>
      </c>
      <c r="U8" s="134">
        <v>34</v>
      </c>
      <c r="V8" s="134">
        <v>7</v>
      </c>
      <c r="W8" s="204">
        <v>7</v>
      </c>
    </row>
    <row r="9" spans="1:23" ht="61.5" customHeight="1">
      <c r="A9" s="73" t="s">
        <v>160</v>
      </c>
      <c r="B9" s="73" t="s">
        <v>135</v>
      </c>
      <c r="C9" s="73" t="s">
        <v>136</v>
      </c>
      <c r="D9" s="134">
        <v>22</v>
      </c>
      <c r="E9" s="134">
        <v>134</v>
      </c>
      <c r="F9" s="134">
        <v>71</v>
      </c>
      <c r="G9" s="134">
        <v>458</v>
      </c>
      <c r="H9" s="134">
        <v>15</v>
      </c>
      <c r="I9" s="134">
        <v>43</v>
      </c>
      <c r="J9" s="134">
        <v>1</v>
      </c>
      <c r="K9" s="134">
        <v>4</v>
      </c>
      <c r="L9" s="134">
        <v>3</v>
      </c>
      <c r="M9" s="134">
        <v>11</v>
      </c>
      <c r="N9" s="134">
        <v>2</v>
      </c>
      <c r="O9" s="134">
        <v>1</v>
      </c>
      <c r="P9" s="134">
        <v>0</v>
      </c>
      <c r="Q9" s="134">
        <v>0</v>
      </c>
      <c r="R9" s="134">
        <v>15</v>
      </c>
      <c r="S9" s="134">
        <v>107</v>
      </c>
      <c r="T9" s="134">
        <v>19</v>
      </c>
      <c r="U9" s="134">
        <v>62</v>
      </c>
      <c r="V9" s="134">
        <v>2</v>
      </c>
      <c r="W9" s="204">
        <v>7</v>
      </c>
    </row>
    <row r="10" spans="1:23" ht="61.5" customHeight="1">
      <c r="A10" s="73" t="s">
        <v>160</v>
      </c>
      <c r="B10" s="73" t="s">
        <v>135</v>
      </c>
      <c r="C10" s="73" t="s">
        <v>137</v>
      </c>
      <c r="D10" s="134">
        <v>27</v>
      </c>
      <c r="E10" s="134">
        <v>115</v>
      </c>
      <c r="F10" s="134">
        <v>95</v>
      </c>
      <c r="G10" s="134">
        <v>370</v>
      </c>
      <c r="H10" s="134">
        <v>31</v>
      </c>
      <c r="I10" s="134">
        <v>39</v>
      </c>
      <c r="J10" s="134">
        <v>116</v>
      </c>
      <c r="K10" s="134">
        <v>179</v>
      </c>
      <c r="L10" s="134">
        <v>11</v>
      </c>
      <c r="M10" s="134">
        <v>22</v>
      </c>
      <c r="N10" s="134">
        <v>0</v>
      </c>
      <c r="O10" s="134">
        <v>0</v>
      </c>
      <c r="P10" s="134">
        <v>0</v>
      </c>
      <c r="Q10" s="134">
        <v>0</v>
      </c>
      <c r="R10" s="134">
        <v>5</v>
      </c>
      <c r="S10" s="134">
        <v>20</v>
      </c>
      <c r="T10" s="134">
        <v>5</v>
      </c>
      <c r="U10" s="134">
        <v>25</v>
      </c>
      <c r="V10" s="134">
        <v>2</v>
      </c>
      <c r="W10" s="204">
        <v>4</v>
      </c>
    </row>
    <row r="11" spans="1:23" ht="61.5" customHeight="1">
      <c r="A11" s="73" t="s">
        <v>160</v>
      </c>
      <c r="B11" s="73" t="s">
        <v>135</v>
      </c>
      <c r="C11" s="73" t="s">
        <v>38</v>
      </c>
      <c r="D11" s="134">
        <v>201</v>
      </c>
      <c r="E11" s="134">
        <v>131</v>
      </c>
      <c r="F11" s="134">
        <v>496</v>
      </c>
      <c r="G11" s="134">
        <v>350</v>
      </c>
      <c r="H11" s="134">
        <v>117</v>
      </c>
      <c r="I11" s="134">
        <v>29</v>
      </c>
      <c r="J11" s="134">
        <v>326</v>
      </c>
      <c r="K11" s="134">
        <v>216</v>
      </c>
      <c r="L11" s="134">
        <v>101</v>
      </c>
      <c r="M11" s="134">
        <v>73</v>
      </c>
      <c r="N11" s="134">
        <v>3</v>
      </c>
      <c r="O11" s="134">
        <v>1</v>
      </c>
      <c r="P11" s="134">
        <v>1</v>
      </c>
      <c r="Q11" s="134"/>
      <c r="R11" s="134">
        <v>17</v>
      </c>
      <c r="S11" s="134">
        <v>21</v>
      </c>
      <c r="T11" s="134">
        <v>57</v>
      </c>
      <c r="U11" s="134">
        <v>41</v>
      </c>
      <c r="V11" s="134">
        <v>22</v>
      </c>
      <c r="W11" s="204">
        <v>7</v>
      </c>
    </row>
    <row r="12" spans="1:23" ht="61.5" customHeight="1">
      <c r="A12" s="73" t="s">
        <v>160</v>
      </c>
      <c r="B12" s="73" t="s">
        <v>135</v>
      </c>
      <c r="C12" s="73" t="s">
        <v>138</v>
      </c>
      <c r="D12" s="134">
        <v>57</v>
      </c>
      <c r="E12" s="134">
        <v>100</v>
      </c>
      <c r="F12" s="134">
        <v>205</v>
      </c>
      <c r="G12" s="134">
        <v>322</v>
      </c>
      <c r="H12" s="134">
        <v>39</v>
      </c>
      <c r="I12" s="134">
        <v>23</v>
      </c>
      <c r="J12" s="134">
        <v>84</v>
      </c>
      <c r="K12" s="134">
        <v>85</v>
      </c>
      <c r="L12" s="134">
        <v>19</v>
      </c>
      <c r="M12" s="134">
        <v>31</v>
      </c>
      <c r="N12" s="134">
        <v>6</v>
      </c>
      <c r="O12" s="134">
        <v>3</v>
      </c>
      <c r="P12" s="134"/>
      <c r="Q12" s="134"/>
      <c r="R12" s="134">
        <v>24</v>
      </c>
      <c r="S12" s="134">
        <v>39</v>
      </c>
      <c r="T12" s="134">
        <v>20</v>
      </c>
      <c r="U12" s="134">
        <v>33</v>
      </c>
      <c r="V12" s="134">
        <v>11</v>
      </c>
      <c r="W12" s="204">
        <v>5</v>
      </c>
    </row>
    <row r="13" spans="1:23" ht="61.5" customHeight="1">
      <c r="A13" s="73" t="s">
        <v>160</v>
      </c>
      <c r="B13" s="73" t="s">
        <v>139</v>
      </c>
      <c r="C13" s="73" t="s">
        <v>51</v>
      </c>
      <c r="D13" s="134">
        <v>34</v>
      </c>
      <c r="E13" s="134">
        <v>97</v>
      </c>
      <c r="F13" s="134">
        <v>100</v>
      </c>
      <c r="G13" s="134">
        <v>258</v>
      </c>
      <c r="H13" s="134">
        <v>37</v>
      </c>
      <c r="I13" s="134">
        <v>62</v>
      </c>
      <c r="J13" s="134">
        <v>34</v>
      </c>
      <c r="K13" s="134">
        <v>65</v>
      </c>
      <c r="L13" s="134">
        <v>10</v>
      </c>
      <c r="M13" s="134">
        <v>34</v>
      </c>
      <c r="N13" s="134">
        <v>0</v>
      </c>
      <c r="O13" s="134">
        <v>0</v>
      </c>
      <c r="P13" s="134">
        <v>0</v>
      </c>
      <c r="Q13" s="134">
        <v>0</v>
      </c>
      <c r="R13" s="134">
        <v>0</v>
      </c>
      <c r="S13" s="134">
        <v>0</v>
      </c>
      <c r="T13" s="134">
        <v>10</v>
      </c>
      <c r="U13" s="134">
        <v>68</v>
      </c>
      <c r="V13" s="134">
        <v>12</v>
      </c>
      <c r="W13" s="204">
        <v>27</v>
      </c>
    </row>
    <row r="14" spans="1:23" ht="61.5" customHeight="1">
      <c r="A14" s="73" t="s">
        <v>160</v>
      </c>
      <c r="B14" s="73" t="s">
        <v>139</v>
      </c>
      <c r="C14" s="73" t="s">
        <v>140</v>
      </c>
      <c r="D14" s="134">
        <v>164</v>
      </c>
      <c r="E14" s="134">
        <v>36</v>
      </c>
      <c r="F14" s="134">
        <v>658</v>
      </c>
      <c r="G14" s="134">
        <v>159</v>
      </c>
      <c r="H14" s="134">
        <v>154</v>
      </c>
      <c r="I14" s="134">
        <v>39</v>
      </c>
      <c r="J14" s="134">
        <v>507</v>
      </c>
      <c r="K14" s="134">
        <v>55</v>
      </c>
      <c r="L14" s="134">
        <v>57</v>
      </c>
      <c r="M14" s="134">
        <v>8</v>
      </c>
      <c r="N14" s="134">
        <v>7</v>
      </c>
      <c r="O14" s="134">
        <v>2</v>
      </c>
      <c r="P14" s="134">
        <v>0</v>
      </c>
      <c r="Q14" s="134">
        <v>0</v>
      </c>
      <c r="R14" s="134">
        <v>15</v>
      </c>
      <c r="S14" s="134">
        <v>4</v>
      </c>
      <c r="T14" s="134">
        <v>73</v>
      </c>
      <c r="U14" s="134">
        <v>20</v>
      </c>
      <c r="V14" s="134">
        <v>30</v>
      </c>
      <c r="W14" s="204">
        <v>7</v>
      </c>
    </row>
    <row r="15" spans="1:23" ht="61.5" customHeight="1">
      <c r="A15" s="73" t="s">
        <v>160</v>
      </c>
      <c r="B15" s="73" t="s">
        <v>141</v>
      </c>
      <c r="C15" s="73" t="s">
        <v>142</v>
      </c>
      <c r="D15" s="134">
        <v>116</v>
      </c>
      <c r="E15" s="134">
        <v>31</v>
      </c>
      <c r="F15" s="134">
        <v>457</v>
      </c>
      <c r="G15" s="134">
        <v>127</v>
      </c>
      <c r="H15" s="134">
        <v>216</v>
      </c>
      <c r="I15" s="134">
        <v>54</v>
      </c>
      <c r="J15" s="134">
        <v>192</v>
      </c>
      <c r="K15" s="134">
        <v>53</v>
      </c>
      <c r="L15" s="134">
        <v>21</v>
      </c>
      <c r="M15" s="134">
        <v>6</v>
      </c>
      <c r="N15" s="134">
        <v>2</v>
      </c>
      <c r="O15" s="134">
        <v>2</v>
      </c>
      <c r="P15" s="134">
        <v>0</v>
      </c>
      <c r="Q15" s="134">
        <v>0</v>
      </c>
      <c r="R15" s="134">
        <v>5</v>
      </c>
      <c r="S15" s="134">
        <v>1</v>
      </c>
      <c r="T15" s="134">
        <v>82</v>
      </c>
      <c r="U15" s="134">
        <v>30</v>
      </c>
      <c r="V15" s="134">
        <v>9</v>
      </c>
      <c r="W15" s="204">
        <v>1</v>
      </c>
    </row>
    <row r="16" spans="1:23" ht="61.5" customHeight="1">
      <c r="A16" s="73" t="s">
        <v>160</v>
      </c>
      <c r="B16" s="73" t="s">
        <v>139</v>
      </c>
      <c r="C16" s="73" t="s">
        <v>55</v>
      </c>
      <c r="D16" s="134">
        <v>116</v>
      </c>
      <c r="E16" s="134">
        <v>64</v>
      </c>
      <c r="F16" s="134">
        <v>299</v>
      </c>
      <c r="G16" s="134">
        <v>177</v>
      </c>
      <c r="H16" s="134">
        <v>87</v>
      </c>
      <c r="I16" s="134">
        <v>78</v>
      </c>
      <c r="J16" s="134">
        <v>515</v>
      </c>
      <c r="K16" s="134">
        <v>145</v>
      </c>
      <c r="L16" s="134">
        <v>76</v>
      </c>
      <c r="M16" s="134">
        <v>27</v>
      </c>
      <c r="N16" s="134">
        <v>2</v>
      </c>
      <c r="O16" s="134">
        <v>0</v>
      </c>
      <c r="P16" s="134">
        <v>3</v>
      </c>
      <c r="Q16" s="134">
        <v>0</v>
      </c>
      <c r="R16" s="134">
        <v>2</v>
      </c>
      <c r="S16" s="134">
        <v>3</v>
      </c>
      <c r="T16" s="134">
        <v>41</v>
      </c>
      <c r="U16" s="134">
        <v>32</v>
      </c>
      <c r="V16" s="134">
        <v>16</v>
      </c>
      <c r="W16" s="204">
        <v>4</v>
      </c>
    </row>
    <row r="17" spans="1:23" ht="61.5" customHeight="1">
      <c r="A17" s="73" t="s">
        <v>160</v>
      </c>
      <c r="B17" s="73" t="s">
        <v>139</v>
      </c>
      <c r="C17" s="73" t="s">
        <v>143</v>
      </c>
      <c r="D17" s="134">
        <v>56</v>
      </c>
      <c r="E17" s="134">
        <v>39</v>
      </c>
      <c r="F17" s="134">
        <v>250</v>
      </c>
      <c r="G17" s="134">
        <v>223</v>
      </c>
      <c r="H17" s="134">
        <v>81</v>
      </c>
      <c r="I17" s="134">
        <v>47</v>
      </c>
      <c r="J17" s="134">
        <v>127</v>
      </c>
      <c r="K17" s="134">
        <v>76</v>
      </c>
      <c r="L17" s="134">
        <v>10</v>
      </c>
      <c r="M17" s="134">
        <v>2</v>
      </c>
      <c r="N17" s="134">
        <v>6</v>
      </c>
      <c r="O17" s="134">
        <v>3</v>
      </c>
      <c r="P17" s="134">
        <v>0</v>
      </c>
      <c r="Q17" s="134">
        <v>0</v>
      </c>
      <c r="R17" s="134">
        <v>1</v>
      </c>
      <c r="S17" s="134">
        <v>18</v>
      </c>
      <c r="T17" s="134">
        <v>35</v>
      </c>
      <c r="U17" s="134">
        <v>22</v>
      </c>
      <c r="V17" s="134">
        <v>7</v>
      </c>
      <c r="W17" s="204">
        <v>6</v>
      </c>
    </row>
    <row r="18" spans="1:23" ht="61.5" customHeight="1">
      <c r="A18" s="73" t="s">
        <v>160</v>
      </c>
      <c r="B18" s="73" t="s">
        <v>144</v>
      </c>
      <c r="C18" s="73" t="s">
        <v>61</v>
      </c>
      <c r="D18" s="134">
        <v>49</v>
      </c>
      <c r="E18" s="134">
        <v>69</v>
      </c>
      <c r="F18" s="134">
        <v>239</v>
      </c>
      <c r="G18" s="134">
        <v>318</v>
      </c>
      <c r="H18" s="134">
        <v>38</v>
      </c>
      <c r="I18" s="134">
        <v>40</v>
      </c>
      <c r="J18" s="134">
        <v>105</v>
      </c>
      <c r="K18" s="134">
        <v>95</v>
      </c>
      <c r="L18" s="134">
        <v>27</v>
      </c>
      <c r="M18" s="134">
        <v>49</v>
      </c>
      <c r="N18" s="134">
        <v>0</v>
      </c>
      <c r="O18" s="134">
        <v>2</v>
      </c>
      <c r="P18" s="134">
        <v>0</v>
      </c>
      <c r="Q18" s="134">
        <v>0</v>
      </c>
      <c r="R18" s="134">
        <v>29</v>
      </c>
      <c r="S18" s="134">
        <v>42</v>
      </c>
      <c r="T18" s="134">
        <v>20</v>
      </c>
      <c r="U18" s="134">
        <v>23</v>
      </c>
      <c r="V18" s="134">
        <v>3</v>
      </c>
      <c r="W18" s="204">
        <v>3</v>
      </c>
    </row>
    <row r="19" spans="1:23" ht="61.5" customHeight="1">
      <c r="A19" s="73" t="s">
        <v>160</v>
      </c>
      <c r="B19" s="73" t="s">
        <v>144</v>
      </c>
      <c r="C19" s="73" t="s">
        <v>145</v>
      </c>
      <c r="D19" s="134">
        <v>34</v>
      </c>
      <c r="E19" s="134">
        <v>83</v>
      </c>
      <c r="F19" s="134">
        <v>158</v>
      </c>
      <c r="G19" s="134">
        <v>297</v>
      </c>
      <c r="H19" s="134">
        <v>46</v>
      </c>
      <c r="I19" s="134">
        <v>45</v>
      </c>
      <c r="J19" s="134">
        <v>72</v>
      </c>
      <c r="K19" s="134">
        <v>131</v>
      </c>
      <c r="L19" s="134">
        <v>10</v>
      </c>
      <c r="M19" s="134">
        <v>25</v>
      </c>
      <c r="N19" s="134">
        <v>2</v>
      </c>
      <c r="O19" s="134">
        <v>1</v>
      </c>
      <c r="P19" s="134">
        <v>0</v>
      </c>
      <c r="Q19" s="134">
        <v>0</v>
      </c>
      <c r="R19" s="134">
        <v>11</v>
      </c>
      <c r="S19" s="134">
        <v>11</v>
      </c>
      <c r="T19" s="134">
        <v>22</v>
      </c>
      <c r="U19" s="134">
        <v>52</v>
      </c>
      <c r="V19" s="134">
        <v>8</v>
      </c>
      <c r="W19" s="204">
        <v>6</v>
      </c>
    </row>
    <row r="20" spans="1:23" ht="61.5" customHeight="1">
      <c r="A20" s="73" t="s">
        <v>160</v>
      </c>
      <c r="B20" s="73" t="s">
        <v>146</v>
      </c>
      <c r="C20" s="73" t="s">
        <v>147</v>
      </c>
      <c r="D20" s="134">
        <v>78</v>
      </c>
      <c r="E20" s="134">
        <v>151</v>
      </c>
      <c r="F20" s="134">
        <v>268</v>
      </c>
      <c r="G20" s="134">
        <v>595</v>
      </c>
      <c r="H20" s="134">
        <v>53</v>
      </c>
      <c r="I20" s="134">
        <v>72</v>
      </c>
      <c r="J20" s="134">
        <v>161</v>
      </c>
      <c r="K20" s="134">
        <v>230</v>
      </c>
      <c r="L20" s="134">
        <v>26</v>
      </c>
      <c r="M20" s="134">
        <v>54</v>
      </c>
      <c r="N20" s="134"/>
      <c r="O20" s="134">
        <v>3</v>
      </c>
      <c r="P20" s="134">
        <v>1</v>
      </c>
      <c r="Q20" s="134"/>
      <c r="R20" s="134">
        <v>14</v>
      </c>
      <c r="S20" s="134">
        <v>75</v>
      </c>
      <c r="T20" s="134">
        <v>24</v>
      </c>
      <c r="U20" s="134">
        <v>37</v>
      </c>
      <c r="V20" s="134">
        <v>4</v>
      </c>
      <c r="W20" s="204">
        <v>12</v>
      </c>
    </row>
    <row r="21" spans="1:23" ht="61.5" customHeight="1">
      <c r="A21" s="73" t="s">
        <v>160</v>
      </c>
      <c r="B21" s="73" t="s">
        <v>146</v>
      </c>
      <c r="C21" s="73" t="s">
        <v>148</v>
      </c>
      <c r="D21" s="134">
        <v>22</v>
      </c>
      <c r="E21" s="134">
        <v>265</v>
      </c>
      <c r="F21" s="134">
        <v>44</v>
      </c>
      <c r="G21" s="134">
        <v>660</v>
      </c>
      <c r="H21" s="134">
        <v>9</v>
      </c>
      <c r="I21" s="134">
        <v>70</v>
      </c>
      <c r="J21" s="134">
        <v>45</v>
      </c>
      <c r="K21" s="134">
        <v>235</v>
      </c>
      <c r="L21" s="134">
        <v>9</v>
      </c>
      <c r="M21" s="134">
        <v>57</v>
      </c>
      <c r="N21" s="134">
        <v>0</v>
      </c>
      <c r="O21" s="134">
        <v>5</v>
      </c>
      <c r="P21" s="134">
        <v>0</v>
      </c>
      <c r="Q21" s="134">
        <v>0</v>
      </c>
      <c r="R21" s="134">
        <v>3</v>
      </c>
      <c r="S21" s="134">
        <v>48</v>
      </c>
      <c r="T21" s="134">
        <v>2</v>
      </c>
      <c r="U21" s="134">
        <v>78</v>
      </c>
      <c r="V21" s="134">
        <v>2</v>
      </c>
      <c r="W21" s="204">
        <v>18</v>
      </c>
    </row>
    <row r="22" spans="1:23" ht="61.5" customHeight="1">
      <c r="A22" s="73" t="s">
        <v>160</v>
      </c>
      <c r="B22" s="73" t="s">
        <v>149</v>
      </c>
      <c r="C22" s="73" t="s">
        <v>150</v>
      </c>
      <c r="D22" s="134">
        <v>34</v>
      </c>
      <c r="E22" s="134">
        <v>14</v>
      </c>
      <c r="F22" s="134">
        <v>271</v>
      </c>
      <c r="G22" s="134">
        <v>230</v>
      </c>
      <c r="H22" s="134">
        <v>86</v>
      </c>
      <c r="I22" s="134">
        <v>56</v>
      </c>
      <c r="J22" s="134">
        <v>228</v>
      </c>
      <c r="K22" s="134">
        <v>101</v>
      </c>
      <c r="L22" s="134">
        <v>17</v>
      </c>
      <c r="M22" s="134">
        <v>8</v>
      </c>
      <c r="N22" s="134">
        <v>0</v>
      </c>
      <c r="O22" s="134">
        <v>1</v>
      </c>
      <c r="P22" s="134">
        <v>0</v>
      </c>
      <c r="Q22" s="134">
        <v>0</v>
      </c>
      <c r="R22" s="134">
        <v>15</v>
      </c>
      <c r="S22" s="134">
        <v>26</v>
      </c>
      <c r="T22" s="134">
        <v>24</v>
      </c>
      <c r="U22" s="134">
        <v>8</v>
      </c>
      <c r="V22" s="134">
        <v>13</v>
      </c>
      <c r="W22" s="204">
        <v>4</v>
      </c>
    </row>
    <row r="23" spans="1:23" ht="61.5" customHeight="1">
      <c r="A23" s="73" t="s">
        <v>160</v>
      </c>
      <c r="B23" s="73" t="s">
        <v>149</v>
      </c>
      <c r="C23" s="73" t="s">
        <v>151</v>
      </c>
      <c r="D23" s="134">
        <v>18</v>
      </c>
      <c r="E23" s="134">
        <v>9</v>
      </c>
      <c r="F23" s="134">
        <v>156</v>
      </c>
      <c r="G23" s="134">
        <v>208</v>
      </c>
      <c r="H23" s="134">
        <v>92</v>
      </c>
      <c r="I23" s="134">
        <v>62</v>
      </c>
      <c r="J23" s="134">
        <v>204</v>
      </c>
      <c r="K23" s="134">
        <v>112</v>
      </c>
      <c r="L23" s="134">
        <v>9</v>
      </c>
      <c r="M23" s="134">
        <v>11</v>
      </c>
      <c r="N23" s="134">
        <v>6</v>
      </c>
      <c r="O23" s="134">
        <v>6</v>
      </c>
      <c r="P23" s="134">
        <v>2</v>
      </c>
      <c r="Q23" s="134">
        <v>0</v>
      </c>
      <c r="R23" s="134">
        <v>0</v>
      </c>
      <c r="S23" s="134">
        <v>1</v>
      </c>
      <c r="T23" s="134">
        <v>10</v>
      </c>
      <c r="U23" s="134">
        <v>17</v>
      </c>
      <c r="V23" s="134">
        <v>13</v>
      </c>
      <c r="W23" s="204">
        <v>2</v>
      </c>
    </row>
    <row r="24" spans="1:23" ht="61.5" customHeight="1">
      <c r="A24" s="73" t="s">
        <v>160</v>
      </c>
      <c r="B24" s="73" t="s">
        <v>152</v>
      </c>
      <c r="C24" s="73" t="s">
        <v>33</v>
      </c>
      <c r="D24" s="134">
        <v>187</v>
      </c>
      <c r="E24" s="134">
        <v>36</v>
      </c>
      <c r="F24" s="134">
        <v>663</v>
      </c>
      <c r="G24" s="134">
        <v>148</v>
      </c>
      <c r="H24" s="134">
        <v>460</v>
      </c>
      <c r="I24" s="134">
        <v>53</v>
      </c>
      <c r="J24" s="134">
        <v>762</v>
      </c>
      <c r="K24" s="134">
        <v>184</v>
      </c>
      <c r="L24" s="134">
        <v>156</v>
      </c>
      <c r="M24" s="134">
        <v>39</v>
      </c>
      <c r="N24" s="134">
        <v>5</v>
      </c>
      <c r="O24" s="134">
        <v>1</v>
      </c>
      <c r="P24" s="134">
        <v>3</v>
      </c>
      <c r="Q24" s="134">
        <v>2</v>
      </c>
      <c r="R24" s="134">
        <v>0</v>
      </c>
      <c r="S24" s="134">
        <v>0</v>
      </c>
      <c r="T24" s="134">
        <v>21</v>
      </c>
      <c r="U24" s="134">
        <v>7</v>
      </c>
      <c r="V24" s="134">
        <v>37</v>
      </c>
      <c r="W24" s="204">
        <v>14</v>
      </c>
    </row>
    <row r="25" spans="1:23" ht="61.5" customHeight="1">
      <c r="A25" s="73" t="s">
        <v>160</v>
      </c>
      <c r="B25" s="73" t="s">
        <v>152</v>
      </c>
      <c r="C25" s="73" t="s">
        <v>34</v>
      </c>
      <c r="D25" s="134">
        <v>14</v>
      </c>
      <c r="E25" s="134">
        <v>11</v>
      </c>
      <c r="F25" s="134">
        <v>159</v>
      </c>
      <c r="G25" s="134">
        <v>130</v>
      </c>
      <c r="H25" s="134">
        <v>370</v>
      </c>
      <c r="I25" s="134">
        <v>67</v>
      </c>
      <c r="J25" s="134">
        <v>925</v>
      </c>
      <c r="K25" s="134">
        <v>80</v>
      </c>
      <c r="L25" s="134">
        <v>6</v>
      </c>
      <c r="M25" s="134">
        <v>3</v>
      </c>
      <c r="N25" s="134">
        <v>1</v>
      </c>
      <c r="O25" s="134">
        <v>0</v>
      </c>
      <c r="P25" s="134">
        <v>1</v>
      </c>
      <c r="Q25" s="134">
        <v>1</v>
      </c>
      <c r="R25" s="134">
        <v>0</v>
      </c>
      <c r="S25" s="134">
        <v>0</v>
      </c>
      <c r="T25" s="134">
        <v>34</v>
      </c>
      <c r="U25" s="134">
        <v>5</v>
      </c>
      <c r="V25" s="134">
        <v>67</v>
      </c>
      <c r="W25" s="204">
        <v>3</v>
      </c>
    </row>
    <row r="26" spans="1:23" ht="61.5" customHeight="1">
      <c r="A26" s="73" t="s">
        <v>160</v>
      </c>
      <c r="B26" s="73" t="s">
        <v>152</v>
      </c>
      <c r="C26" s="73" t="s">
        <v>153</v>
      </c>
      <c r="D26" s="134">
        <v>55</v>
      </c>
      <c r="E26" s="134">
        <v>27</v>
      </c>
      <c r="F26" s="134">
        <v>151</v>
      </c>
      <c r="G26" s="134">
        <v>293</v>
      </c>
      <c r="H26" s="134">
        <v>327</v>
      </c>
      <c r="I26" s="134">
        <v>99</v>
      </c>
      <c r="J26" s="134">
        <v>1399</v>
      </c>
      <c r="K26" s="134">
        <v>286</v>
      </c>
      <c r="L26" s="134">
        <v>29</v>
      </c>
      <c r="M26" s="134">
        <v>52</v>
      </c>
      <c r="N26" s="134">
        <v>2</v>
      </c>
      <c r="O26" s="134">
        <v>2</v>
      </c>
      <c r="P26" s="134">
        <v>0</v>
      </c>
      <c r="Q26" s="134">
        <v>0</v>
      </c>
      <c r="R26" s="134">
        <v>1</v>
      </c>
      <c r="S26" s="134">
        <v>0</v>
      </c>
      <c r="T26" s="134">
        <v>112</v>
      </c>
      <c r="U26" s="134">
        <v>72</v>
      </c>
      <c r="V26" s="134">
        <v>97</v>
      </c>
      <c r="W26" s="204">
        <v>4</v>
      </c>
    </row>
    <row r="27" spans="1:23" ht="61.5" customHeight="1">
      <c r="A27" s="73" t="s">
        <v>160</v>
      </c>
      <c r="B27" s="73" t="s">
        <v>154</v>
      </c>
      <c r="C27" s="73" t="s">
        <v>155</v>
      </c>
      <c r="D27" s="134">
        <v>65</v>
      </c>
      <c r="E27" s="134">
        <v>38</v>
      </c>
      <c r="F27" s="134">
        <v>416</v>
      </c>
      <c r="G27" s="134">
        <v>207</v>
      </c>
      <c r="H27" s="134">
        <v>242</v>
      </c>
      <c r="I27" s="134">
        <v>135</v>
      </c>
      <c r="J27" s="134">
        <v>1193</v>
      </c>
      <c r="K27" s="134">
        <v>760</v>
      </c>
      <c r="L27" s="134">
        <v>17</v>
      </c>
      <c r="M27" s="134">
        <v>20</v>
      </c>
      <c r="N27" s="134">
        <v>3</v>
      </c>
      <c r="O27" s="134">
        <v>1</v>
      </c>
      <c r="P27" s="134">
        <v>0</v>
      </c>
      <c r="Q27" s="134">
        <v>0</v>
      </c>
      <c r="R27" s="134">
        <v>1</v>
      </c>
      <c r="S27" s="134">
        <v>1</v>
      </c>
      <c r="T27" s="134">
        <v>246</v>
      </c>
      <c r="U27" s="134">
        <v>139</v>
      </c>
      <c r="V27" s="134">
        <v>25</v>
      </c>
      <c r="W27" s="204">
        <v>32</v>
      </c>
    </row>
    <row r="28" spans="1:23" ht="61.5" customHeight="1">
      <c r="A28" s="73" t="s">
        <v>160</v>
      </c>
      <c r="B28" s="73" t="s">
        <v>154</v>
      </c>
      <c r="C28" s="73" t="s">
        <v>156</v>
      </c>
      <c r="D28" s="134">
        <v>81</v>
      </c>
      <c r="E28" s="134">
        <v>66</v>
      </c>
      <c r="F28" s="134">
        <v>430</v>
      </c>
      <c r="G28" s="134">
        <v>381</v>
      </c>
      <c r="H28" s="134">
        <v>217</v>
      </c>
      <c r="I28" s="134">
        <v>177</v>
      </c>
      <c r="J28" s="134">
        <v>753</v>
      </c>
      <c r="K28" s="134">
        <v>669</v>
      </c>
      <c r="L28" s="134">
        <v>22</v>
      </c>
      <c r="M28" s="134">
        <v>27</v>
      </c>
      <c r="N28" s="134">
        <v>1</v>
      </c>
      <c r="O28" s="134">
        <v>2</v>
      </c>
      <c r="P28" s="134">
        <v>0</v>
      </c>
      <c r="Q28" s="134">
        <v>0</v>
      </c>
      <c r="R28" s="134">
        <v>7</v>
      </c>
      <c r="S28" s="134">
        <v>2</v>
      </c>
      <c r="T28" s="134">
        <v>27</v>
      </c>
      <c r="U28" s="134">
        <v>45</v>
      </c>
      <c r="V28" s="134">
        <v>8</v>
      </c>
      <c r="W28" s="204">
        <v>22</v>
      </c>
    </row>
    <row r="29" spans="1:23" ht="61.5" customHeight="1">
      <c r="A29" s="73" t="s">
        <v>160</v>
      </c>
      <c r="B29" s="73" t="s">
        <v>149</v>
      </c>
      <c r="C29" s="73" t="s">
        <v>157</v>
      </c>
      <c r="D29" s="134">
        <v>19</v>
      </c>
      <c r="E29" s="134">
        <v>9</v>
      </c>
      <c r="F29" s="134">
        <v>138</v>
      </c>
      <c r="G29" s="134">
        <v>216</v>
      </c>
      <c r="H29" s="134">
        <v>192</v>
      </c>
      <c r="I29" s="134">
        <v>323</v>
      </c>
      <c r="J29" s="134">
        <v>341</v>
      </c>
      <c r="K29" s="134">
        <v>279</v>
      </c>
      <c r="L29" s="134">
        <v>6</v>
      </c>
      <c r="M29" s="134">
        <v>7</v>
      </c>
      <c r="N29" s="134">
        <v>1</v>
      </c>
      <c r="O29" s="134">
        <v>2</v>
      </c>
      <c r="P29" s="134">
        <v>0</v>
      </c>
      <c r="Q29" s="134">
        <v>0</v>
      </c>
      <c r="R29" s="134">
        <v>0</v>
      </c>
      <c r="S29" s="134">
        <v>0</v>
      </c>
      <c r="T29" s="134">
        <v>37</v>
      </c>
      <c r="U29" s="134">
        <v>36</v>
      </c>
      <c r="V29" s="134">
        <v>5</v>
      </c>
      <c r="W29" s="204">
        <v>8</v>
      </c>
    </row>
    <row r="30" spans="1:23" ht="61.5" customHeight="1">
      <c r="A30" s="73" t="s">
        <v>160</v>
      </c>
      <c r="B30" s="73" t="s">
        <v>149</v>
      </c>
      <c r="C30" s="73" t="s">
        <v>158</v>
      </c>
      <c r="D30" s="134">
        <v>25</v>
      </c>
      <c r="E30" s="134">
        <v>25</v>
      </c>
      <c r="F30" s="134">
        <v>154</v>
      </c>
      <c r="G30" s="134">
        <v>311</v>
      </c>
      <c r="H30" s="134">
        <v>56</v>
      </c>
      <c r="I30" s="134">
        <v>75</v>
      </c>
      <c r="J30" s="134">
        <v>99</v>
      </c>
      <c r="K30" s="134">
        <v>88</v>
      </c>
      <c r="L30" s="134">
        <v>8</v>
      </c>
      <c r="M30" s="134">
        <v>12</v>
      </c>
      <c r="N30" s="134">
        <v>13</v>
      </c>
      <c r="O30" s="134">
        <v>4</v>
      </c>
      <c r="P30" s="134"/>
      <c r="Q30" s="134"/>
      <c r="R30" s="134">
        <v>33</v>
      </c>
      <c r="S30" s="134">
        <v>62</v>
      </c>
      <c r="T30" s="134">
        <v>22</v>
      </c>
      <c r="U30" s="134">
        <v>42</v>
      </c>
      <c r="V30" s="134">
        <v>11</v>
      </c>
      <c r="W30" s="204">
        <v>20</v>
      </c>
    </row>
    <row r="31" spans="1:23" ht="61.5" customHeight="1">
      <c r="A31" s="73" t="s">
        <v>160</v>
      </c>
      <c r="B31" s="73" t="s">
        <v>144</v>
      </c>
      <c r="C31" s="73" t="s">
        <v>159</v>
      </c>
      <c r="D31" s="134">
        <v>5</v>
      </c>
      <c r="E31" s="134">
        <v>15</v>
      </c>
      <c r="F31" s="134">
        <v>25</v>
      </c>
      <c r="G31" s="134">
        <v>98</v>
      </c>
      <c r="H31" s="134">
        <v>42</v>
      </c>
      <c r="I31" s="134">
        <v>136</v>
      </c>
      <c r="J31" s="134">
        <v>25</v>
      </c>
      <c r="K31" s="134">
        <v>65</v>
      </c>
      <c r="L31" s="134">
        <v>2</v>
      </c>
      <c r="M31" s="134">
        <v>18</v>
      </c>
      <c r="N31" s="134">
        <v>0</v>
      </c>
      <c r="O31" s="134">
        <v>4</v>
      </c>
      <c r="P31" s="134">
        <v>0</v>
      </c>
      <c r="Q31" s="134">
        <v>0</v>
      </c>
      <c r="R31" s="134">
        <v>0</v>
      </c>
      <c r="S31" s="134">
        <v>2</v>
      </c>
      <c r="T31" s="134">
        <v>5</v>
      </c>
      <c r="U31" s="134">
        <v>50</v>
      </c>
      <c r="V31" s="134">
        <v>5</v>
      </c>
      <c r="W31" s="204">
        <v>7</v>
      </c>
    </row>
    <row r="32" spans="1:23" ht="61.5" customHeight="1">
      <c r="A32" s="73" t="s">
        <v>160</v>
      </c>
      <c r="B32" s="134"/>
      <c r="C32" s="73" t="s">
        <v>126</v>
      </c>
      <c r="D32" s="134">
        <f>SUM(D4:D31)</f>
        <v>1982</v>
      </c>
      <c r="E32" s="134">
        <f t="shared" ref="E32:W32" si="0">SUM(E4:E31)</f>
        <v>2228</v>
      </c>
      <c r="F32" s="134">
        <f t="shared" si="0"/>
        <v>7561</v>
      </c>
      <c r="G32" s="134">
        <f t="shared" si="0"/>
        <v>9149</v>
      </c>
      <c r="H32" s="134">
        <f t="shared" si="0"/>
        <v>3371</v>
      </c>
      <c r="I32" s="134">
        <f t="shared" si="0"/>
        <v>2311</v>
      </c>
      <c r="J32" s="134">
        <f t="shared" si="0"/>
        <v>9786</v>
      </c>
      <c r="K32" s="134">
        <f t="shared" si="0"/>
        <v>6510</v>
      </c>
      <c r="L32" s="134">
        <f t="shared" si="0"/>
        <v>812</v>
      </c>
      <c r="M32" s="134">
        <f t="shared" si="0"/>
        <v>860</v>
      </c>
      <c r="N32" s="134">
        <f t="shared" si="0"/>
        <v>79</v>
      </c>
      <c r="O32" s="134">
        <f t="shared" si="0"/>
        <v>56</v>
      </c>
      <c r="P32" s="134">
        <f t="shared" si="0"/>
        <v>13</v>
      </c>
      <c r="Q32" s="134">
        <f t="shared" si="0"/>
        <v>3</v>
      </c>
      <c r="R32" s="134">
        <f t="shared" si="0"/>
        <v>243</v>
      </c>
      <c r="S32" s="134">
        <f t="shared" si="0"/>
        <v>544</v>
      </c>
      <c r="T32" s="134">
        <f t="shared" si="0"/>
        <v>1264</v>
      </c>
      <c r="U32" s="134">
        <f t="shared" si="0"/>
        <v>1440</v>
      </c>
      <c r="V32" s="134">
        <f t="shared" si="0"/>
        <v>491</v>
      </c>
      <c r="W32" s="134">
        <f t="shared" si="0"/>
        <v>287</v>
      </c>
    </row>
  </sheetData>
  <mergeCells count="11">
    <mergeCell ref="V2:W2"/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workbookViewId="0">
      <selection activeCell="D13" sqref="D13"/>
    </sheetView>
  </sheetViews>
  <sheetFormatPr defaultColWidth="9.140625" defaultRowHeight="15"/>
  <cols>
    <col min="2" max="2" width="52.5703125" customWidth="1"/>
    <col min="3" max="3" width="60.28515625" bestFit="1" customWidth="1"/>
    <col min="4" max="23" width="5.85546875" style="28" customWidth="1"/>
  </cols>
  <sheetData>
    <row r="1" spans="1:23" ht="18.75">
      <c r="A1" s="313" t="s">
        <v>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</row>
    <row r="2" spans="1:23" ht="87.75" customHeight="1">
      <c r="A2" s="175" t="s">
        <v>0</v>
      </c>
      <c r="B2" s="175" t="s">
        <v>4</v>
      </c>
      <c r="C2" s="175" t="s">
        <v>594</v>
      </c>
      <c r="D2" s="318" t="s">
        <v>5</v>
      </c>
      <c r="E2" s="314"/>
      <c r="F2" s="357" t="s">
        <v>2</v>
      </c>
      <c r="G2" s="358"/>
      <c r="H2" s="318" t="s">
        <v>10</v>
      </c>
      <c r="I2" s="314"/>
      <c r="J2" s="359" t="s">
        <v>11</v>
      </c>
      <c r="K2" s="314"/>
      <c r="L2" s="359" t="s">
        <v>595</v>
      </c>
      <c r="M2" s="360"/>
      <c r="N2" s="359" t="s">
        <v>14</v>
      </c>
      <c r="O2" s="360"/>
      <c r="P2" s="359" t="s">
        <v>15</v>
      </c>
      <c r="Q2" s="360"/>
      <c r="R2" s="318" t="s">
        <v>3</v>
      </c>
      <c r="S2" s="314"/>
      <c r="T2" s="318" t="s">
        <v>12</v>
      </c>
      <c r="U2" s="314"/>
      <c r="V2" s="318" t="s">
        <v>13</v>
      </c>
      <c r="W2" s="312"/>
    </row>
    <row r="3" spans="1:23">
      <c r="A3" s="176"/>
      <c r="B3" s="176"/>
      <c r="C3" s="176"/>
      <c r="D3" s="77" t="s">
        <v>6</v>
      </c>
      <c r="E3" s="77" t="s">
        <v>7</v>
      </c>
      <c r="F3" s="77" t="s">
        <v>6</v>
      </c>
      <c r="G3" s="77" t="s">
        <v>7</v>
      </c>
      <c r="H3" s="77" t="s">
        <v>6</v>
      </c>
      <c r="I3" s="77" t="s">
        <v>7</v>
      </c>
      <c r="J3" s="77" t="s">
        <v>6</v>
      </c>
      <c r="K3" s="77" t="s">
        <v>7</v>
      </c>
      <c r="L3" s="77" t="s">
        <v>6</v>
      </c>
      <c r="M3" s="77" t="s">
        <v>7</v>
      </c>
      <c r="N3" s="77" t="s">
        <v>6</v>
      </c>
      <c r="O3" s="77" t="s">
        <v>7</v>
      </c>
      <c r="P3" s="77" t="s">
        <v>6</v>
      </c>
      <c r="Q3" s="77" t="s">
        <v>7</v>
      </c>
      <c r="R3" s="77" t="s">
        <v>6</v>
      </c>
      <c r="S3" s="77" t="s">
        <v>7</v>
      </c>
      <c r="T3" s="77" t="s">
        <v>6</v>
      </c>
      <c r="U3" s="77" t="s">
        <v>7</v>
      </c>
      <c r="V3" s="77" t="s">
        <v>6</v>
      </c>
      <c r="W3" s="77" t="s">
        <v>7</v>
      </c>
    </row>
    <row r="4" spans="1:23">
      <c r="A4" s="3" t="s">
        <v>596</v>
      </c>
      <c r="B4" s="3" t="s">
        <v>597</v>
      </c>
      <c r="C4" s="3" t="s">
        <v>598</v>
      </c>
      <c r="D4" s="25">
        <v>112</v>
      </c>
      <c r="E4" s="25">
        <v>172</v>
      </c>
      <c r="F4" s="25">
        <v>330</v>
      </c>
      <c r="G4" s="25">
        <v>586</v>
      </c>
      <c r="H4" s="25">
        <v>133</v>
      </c>
      <c r="I4" s="25">
        <v>314</v>
      </c>
      <c r="J4" s="25">
        <v>175</v>
      </c>
      <c r="K4" s="25">
        <v>374</v>
      </c>
      <c r="L4" s="25">
        <v>119</v>
      </c>
      <c r="M4" s="25">
        <v>232</v>
      </c>
      <c r="N4" s="25">
        <v>322</v>
      </c>
      <c r="O4" s="25">
        <v>615</v>
      </c>
      <c r="P4" s="25">
        <v>482</v>
      </c>
      <c r="Q4" s="25">
        <v>994</v>
      </c>
      <c r="R4" s="25">
        <v>3</v>
      </c>
      <c r="S4" s="25">
        <v>7</v>
      </c>
      <c r="T4" s="25">
        <v>55</v>
      </c>
      <c r="U4" s="25">
        <v>140</v>
      </c>
      <c r="V4" s="25">
        <v>52</v>
      </c>
      <c r="W4" s="25">
        <v>112</v>
      </c>
    </row>
    <row r="5" spans="1:23">
      <c r="A5" s="3" t="s">
        <v>596</v>
      </c>
      <c r="B5" s="3" t="s">
        <v>597</v>
      </c>
      <c r="C5" s="3" t="s">
        <v>599</v>
      </c>
      <c r="D5" s="25">
        <v>79</v>
      </c>
      <c r="E5" s="25">
        <v>111</v>
      </c>
      <c r="F5" s="25">
        <v>257</v>
      </c>
      <c r="G5" s="25">
        <v>361</v>
      </c>
      <c r="H5" s="25">
        <v>95</v>
      </c>
      <c r="I5" s="25">
        <v>148</v>
      </c>
      <c r="J5" s="25">
        <v>200</v>
      </c>
      <c r="K5" s="25">
        <v>354</v>
      </c>
      <c r="L5" s="25">
        <v>167</v>
      </c>
      <c r="M5" s="25">
        <v>289</v>
      </c>
      <c r="N5" s="25">
        <v>348</v>
      </c>
      <c r="O5" s="25">
        <v>606</v>
      </c>
      <c r="P5" s="25">
        <v>458</v>
      </c>
      <c r="Q5" s="25">
        <v>713</v>
      </c>
      <c r="R5" s="25">
        <v>1</v>
      </c>
      <c r="S5" s="25">
        <v>4</v>
      </c>
      <c r="T5" s="25">
        <v>39</v>
      </c>
      <c r="U5" s="25">
        <v>63</v>
      </c>
      <c r="V5" s="25">
        <v>55</v>
      </c>
      <c r="W5" s="25">
        <v>99</v>
      </c>
    </row>
    <row r="6" spans="1:23">
      <c r="A6" s="3" t="s">
        <v>596</v>
      </c>
      <c r="B6" s="3" t="s">
        <v>597</v>
      </c>
      <c r="C6" s="3" t="s">
        <v>600</v>
      </c>
      <c r="D6" s="25">
        <v>18</v>
      </c>
      <c r="E6" s="25">
        <v>51</v>
      </c>
      <c r="F6" s="25">
        <v>43</v>
      </c>
      <c r="G6" s="25">
        <v>146</v>
      </c>
      <c r="H6" s="25">
        <v>5</v>
      </c>
      <c r="I6" s="25">
        <v>32</v>
      </c>
      <c r="J6" s="25">
        <v>8</v>
      </c>
      <c r="K6" s="25">
        <v>43</v>
      </c>
      <c r="L6" s="25">
        <v>10</v>
      </c>
      <c r="M6" s="25">
        <v>32</v>
      </c>
      <c r="N6" s="25">
        <v>13</v>
      </c>
      <c r="O6" s="25">
        <v>85</v>
      </c>
      <c r="P6" s="25">
        <v>35</v>
      </c>
      <c r="Q6" s="25">
        <v>154</v>
      </c>
      <c r="R6" s="25">
        <v>1</v>
      </c>
      <c r="S6" s="25">
        <v>6</v>
      </c>
      <c r="T6" s="25">
        <v>1</v>
      </c>
      <c r="U6" s="25">
        <v>11</v>
      </c>
      <c r="V6" s="25">
        <v>4</v>
      </c>
      <c r="W6" s="25">
        <v>13</v>
      </c>
    </row>
    <row r="7" spans="1:23">
      <c r="A7" s="3" t="s">
        <v>596</v>
      </c>
      <c r="B7" s="3" t="s">
        <v>601</v>
      </c>
      <c r="C7" s="3" t="s">
        <v>602</v>
      </c>
      <c r="D7" s="25">
        <v>320</v>
      </c>
      <c r="E7" s="25">
        <v>72</v>
      </c>
      <c r="F7" s="25">
        <v>828</v>
      </c>
      <c r="G7" s="25">
        <v>161</v>
      </c>
      <c r="H7" s="25">
        <v>206</v>
      </c>
      <c r="I7" s="25">
        <v>38</v>
      </c>
      <c r="J7" s="25">
        <v>420</v>
      </c>
      <c r="K7" s="25">
        <v>88</v>
      </c>
      <c r="L7" s="25">
        <v>465</v>
      </c>
      <c r="M7" s="25">
        <v>98</v>
      </c>
      <c r="N7" s="25">
        <v>929</v>
      </c>
      <c r="O7" s="25">
        <v>222</v>
      </c>
      <c r="P7" s="25">
        <v>1273</v>
      </c>
      <c r="Q7" s="25">
        <v>246</v>
      </c>
      <c r="R7" s="25">
        <v>10</v>
      </c>
      <c r="S7" s="25">
        <v>1</v>
      </c>
      <c r="T7" s="25">
        <v>46</v>
      </c>
      <c r="U7" s="25">
        <v>5</v>
      </c>
      <c r="V7" s="25">
        <v>73</v>
      </c>
      <c r="W7" s="25">
        <v>14</v>
      </c>
    </row>
    <row r="8" spans="1:23">
      <c r="A8" s="3" t="s">
        <v>596</v>
      </c>
      <c r="B8" s="3" t="s">
        <v>601</v>
      </c>
      <c r="C8" s="3" t="s">
        <v>603</v>
      </c>
      <c r="D8" s="25">
        <v>50</v>
      </c>
      <c r="E8" s="25">
        <v>23</v>
      </c>
      <c r="F8" s="25">
        <v>109</v>
      </c>
      <c r="G8" s="25">
        <v>65</v>
      </c>
      <c r="H8" s="25">
        <v>25</v>
      </c>
      <c r="I8" s="25">
        <v>16</v>
      </c>
      <c r="J8" s="25">
        <v>100</v>
      </c>
      <c r="K8" s="25">
        <v>42</v>
      </c>
      <c r="L8" s="25">
        <v>76</v>
      </c>
      <c r="M8" s="25">
        <v>48</v>
      </c>
      <c r="N8" s="25">
        <v>165</v>
      </c>
      <c r="O8" s="25">
        <v>94</v>
      </c>
      <c r="P8" s="25">
        <v>182</v>
      </c>
      <c r="Q8" s="25">
        <v>86</v>
      </c>
      <c r="R8" s="25">
        <v>2</v>
      </c>
      <c r="S8" s="25">
        <v>1</v>
      </c>
      <c r="T8" s="25">
        <v>2</v>
      </c>
      <c r="U8" s="25">
        <v>2</v>
      </c>
      <c r="V8" s="25">
        <v>12</v>
      </c>
      <c r="W8" s="25">
        <v>5</v>
      </c>
    </row>
    <row r="9" spans="1:23">
      <c r="A9" s="3" t="s">
        <v>596</v>
      </c>
      <c r="B9" s="3" t="s">
        <v>604</v>
      </c>
      <c r="C9" s="3" t="s">
        <v>605</v>
      </c>
      <c r="D9" s="25">
        <v>350</v>
      </c>
      <c r="E9" s="25">
        <v>371</v>
      </c>
      <c r="F9" s="25">
        <v>1136</v>
      </c>
      <c r="G9" s="25">
        <v>1218</v>
      </c>
      <c r="H9" s="25">
        <v>397</v>
      </c>
      <c r="I9" s="25">
        <v>483</v>
      </c>
      <c r="J9" s="25">
        <v>358</v>
      </c>
      <c r="K9" s="25">
        <v>391</v>
      </c>
      <c r="L9" s="25">
        <v>417</v>
      </c>
      <c r="M9" s="25">
        <v>384</v>
      </c>
      <c r="N9" s="25">
        <v>819</v>
      </c>
      <c r="O9" s="25">
        <v>812</v>
      </c>
      <c r="P9" s="25">
        <v>1235</v>
      </c>
      <c r="Q9" s="25">
        <v>1336</v>
      </c>
      <c r="R9" s="25">
        <v>28</v>
      </c>
      <c r="S9" s="25">
        <v>26</v>
      </c>
      <c r="T9" s="25">
        <v>188</v>
      </c>
      <c r="U9" s="25">
        <v>225</v>
      </c>
      <c r="V9" s="25">
        <v>116</v>
      </c>
      <c r="W9" s="25">
        <v>126</v>
      </c>
    </row>
    <row r="10" spans="1:23">
      <c r="A10" s="3" t="s">
        <v>596</v>
      </c>
      <c r="B10" s="3" t="s">
        <v>604</v>
      </c>
      <c r="C10" s="3" t="s">
        <v>606</v>
      </c>
      <c r="D10" s="25">
        <v>204</v>
      </c>
      <c r="E10" s="25">
        <v>384</v>
      </c>
      <c r="F10" s="25">
        <v>657</v>
      </c>
      <c r="G10" s="25">
        <v>1163</v>
      </c>
      <c r="H10" s="25">
        <v>124</v>
      </c>
      <c r="I10" s="25">
        <v>333</v>
      </c>
      <c r="J10" s="25">
        <v>0</v>
      </c>
      <c r="K10" s="25">
        <v>0</v>
      </c>
      <c r="L10" s="25">
        <v>26</v>
      </c>
      <c r="M10" s="25">
        <v>41</v>
      </c>
      <c r="N10" s="25">
        <v>146</v>
      </c>
      <c r="O10" s="25">
        <v>201</v>
      </c>
      <c r="P10" s="25">
        <v>161</v>
      </c>
      <c r="Q10" s="25">
        <v>284</v>
      </c>
      <c r="R10" s="25">
        <v>10</v>
      </c>
      <c r="S10" s="25">
        <v>20</v>
      </c>
      <c r="T10" s="25">
        <v>51</v>
      </c>
      <c r="U10" s="25">
        <v>176</v>
      </c>
      <c r="V10" s="25">
        <v>0</v>
      </c>
      <c r="W10" s="25">
        <v>0</v>
      </c>
    </row>
    <row r="11" spans="1:23">
      <c r="A11" s="3" t="s">
        <v>596</v>
      </c>
      <c r="B11" s="3" t="s">
        <v>604</v>
      </c>
      <c r="C11" s="3" t="s">
        <v>607</v>
      </c>
      <c r="D11" s="25">
        <v>125</v>
      </c>
      <c r="E11" s="25">
        <v>136</v>
      </c>
      <c r="F11" s="25">
        <v>322</v>
      </c>
      <c r="G11" s="25">
        <v>415</v>
      </c>
      <c r="H11" s="25">
        <v>63</v>
      </c>
      <c r="I11" s="25">
        <v>82</v>
      </c>
      <c r="J11" s="25">
        <v>0</v>
      </c>
      <c r="K11" s="25">
        <v>0</v>
      </c>
      <c r="L11" s="25">
        <v>24</v>
      </c>
      <c r="M11" s="25">
        <v>19</v>
      </c>
      <c r="N11" s="25">
        <v>60</v>
      </c>
      <c r="O11" s="25">
        <v>103</v>
      </c>
      <c r="P11" s="25">
        <v>111</v>
      </c>
      <c r="Q11" s="25">
        <v>118</v>
      </c>
      <c r="R11" s="25">
        <v>2</v>
      </c>
      <c r="S11" s="25">
        <v>5</v>
      </c>
      <c r="T11" s="25">
        <v>19</v>
      </c>
      <c r="U11" s="25">
        <v>26</v>
      </c>
      <c r="V11" s="25">
        <v>0</v>
      </c>
      <c r="W11" s="25">
        <v>0</v>
      </c>
    </row>
    <row r="12" spans="1:23">
      <c r="A12" s="207" t="s">
        <v>596</v>
      </c>
      <c r="B12" s="207" t="s">
        <v>608</v>
      </c>
      <c r="C12" s="207" t="s">
        <v>609</v>
      </c>
      <c r="D12" s="208">
        <v>58</v>
      </c>
      <c r="E12" s="208">
        <v>42</v>
      </c>
      <c r="F12" s="208">
        <v>57</v>
      </c>
      <c r="G12" s="208">
        <v>41</v>
      </c>
      <c r="H12" s="208">
        <v>0</v>
      </c>
      <c r="I12" s="208">
        <v>0</v>
      </c>
      <c r="J12" s="208">
        <v>0</v>
      </c>
      <c r="K12" s="208">
        <v>0</v>
      </c>
      <c r="L12" s="208">
        <v>13</v>
      </c>
      <c r="M12" s="208">
        <v>10</v>
      </c>
      <c r="N12" s="208">
        <v>0</v>
      </c>
      <c r="O12" s="208">
        <v>0</v>
      </c>
      <c r="P12" s="208">
        <v>33</v>
      </c>
      <c r="Q12" s="208">
        <v>32</v>
      </c>
      <c r="R12" s="208">
        <v>0</v>
      </c>
      <c r="S12" s="208">
        <v>0</v>
      </c>
      <c r="T12" s="208">
        <v>0</v>
      </c>
      <c r="U12" s="208">
        <v>0</v>
      </c>
      <c r="V12" s="208">
        <v>0</v>
      </c>
      <c r="W12" s="208">
        <v>0</v>
      </c>
    </row>
    <row r="13" spans="1:23">
      <c r="D13" s="25">
        <f>SUM(D4:D12)</f>
        <v>1316</v>
      </c>
      <c r="E13" s="25">
        <f t="shared" ref="E13:W13" si="0">SUM(E4:E12)</f>
        <v>1362</v>
      </c>
      <c r="F13" s="25">
        <f t="shared" si="0"/>
        <v>3739</v>
      </c>
      <c r="G13" s="25">
        <f t="shared" si="0"/>
        <v>4156</v>
      </c>
      <c r="H13" s="25">
        <f t="shared" si="0"/>
        <v>1048</v>
      </c>
      <c r="I13" s="25">
        <f t="shared" si="0"/>
        <v>1446</v>
      </c>
      <c r="J13" s="25">
        <f t="shared" si="0"/>
        <v>1261</v>
      </c>
      <c r="K13" s="25">
        <f t="shared" si="0"/>
        <v>1292</v>
      </c>
      <c r="L13" s="25">
        <f t="shared" si="0"/>
        <v>1317</v>
      </c>
      <c r="M13" s="25">
        <f t="shared" si="0"/>
        <v>1153</v>
      </c>
      <c r="N13" s="25">
        <f t="shared" si="0"/>
        <v>2802</v>
      </c>
      <c r="O13" s="25">
        <f t="shared" si="0"/>
        <v>2738</v>
      </c>
      <c r="P13" s="25">
        <f t="shared" si="0"/>
        <v>3970</v>
      </c>
      <c r="Q13" s="25">
        <f t="shared" si="0"/>
        <v>3963</v>
      </c>
      <c r="R13" s="25">
        <f t="shared" si="0"/>
        <v>57</v>
      </c>
      <c r="S13" s="25">
        <f t="shared" si="0"/>
        <v>70</v>
      </c>
      <c r="T13" s="25">
        <f t="shared" si="0"/>
        <v>401</v>
      </c>
      <c r="U13" s="25">
        <f t="shared" si="0"/>
        <v>648</v>
      </c>
      <c r="V13" s="25">
        <f t="shared" si="0"/>
        <v>312</v>
      </c>
      <c r="W13" s="25">
        <f t="shared" si="0"/>
        <v>369</v>
      </c>
    </row>
    <row r="14" spans="1:23">
      <c r="M14" s="63"/>
      <c r="N14" s="63"/>
      <c r="O14" s="63"/>
      <c r="P14" s="63"/>
      <c r="Q14" s="63"/>
    </row>
    <row r="15" spans="1:23">
      <c r="M15" s="63"/>
      <c r="N15" s="63"/>
      <c r="O15" s="63"/>
      <c r="P15" s="63"/>
      <c r="Q15" s="63"/>
    </row>
    <row r="16" spans="1:23">
      <c r="M16" s="63"/>
      <c r="N16" s="63"/>
      <c r="O16" s="63"/>
      <c r="P16" s="63"/>
      <c r="Q16" s="63"/>
    </row>
    <row r="17" spans="13:17">
      <c r="M17" s="63"/>
      <c r="N17" s="63"/>
      <c r="O17" s="63"/>
      <c r="P17" s="63"/>
      <c r="Q17" s="63"/>
    </row>
    <row r="18" spans="13:17">
      <c r="M18" s="63"/>
      <c r="N18" s="63"/>
      <c r="O18" s="63"/>
      <c r="P18" s="63"/>
      <c r="Q18" s="63"/>
    </row>
    <row r="19" spans="13:17">
      <c r="M19" s="63"/>
      <c r="N19" s="63"/>
      <c r="O19" s="63"/>
      <c r="P19" s="63"/>
      <c r="Q19" s="63"/>
    </row>
  </sheetData>
  <mergeCells count="11">
    <mergeCell ref="V2:W2"/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topLeftCell="A40" workbookViewId="0">
      <selection activeCell="C46" sqref="C46"/>
    </sheetView>
  </sheetViews>
  <sheetFormatPr defaultColWidth="9.140625" defaultRowHeight="15"/>
  <cols>
    <col min="1" max="1" width="16.5703125" customWidth="1"/>
    <col min="2" max="2" width="17.7109375" customWidth="1"/>
    <col min="3" max="3" width="28.5703125" customWidth="1"/>
    <col min="4" max="23" width="5.85546875" customWidth="1"/>
  </cols>
  <sheetData>
    <row r="1" spans="1:23" ht="18.75">
      <c r="A1" s="313" t="s">
        <v>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</row>
    <row r="2" spans="1:23" ht="92.25" customHeight="1">
      <c r="A2" s="74" t="s">
        <v>0</v>
      </c>
      <c r="B2" s="74" t="s">
        <v>4</v>
      </c>
      <c r="C2" s="74" t="s">
        <v>1</v>
      </c>
      <c r="D2" s="361" t="s">
        <v>208</v>
      </c>
      <c r="E2" s="314"/>
      <c r="F2" s="365" t="s">
        <v>2</v>
      </c>
      <c r="G2" s="314"/>
      <c r="H2" s="361" t="s">
        <v>10</v>
      </c>
      <c r="I2" s="314"/>
      <c r="J2" s="316" t="s">
        <v>11</v>
      </c>
      <c r="K2" s="314"/>
      <c r="L2" s="316" t="s">
        <v>9</v>
      </c>
      <c r="M2" s="317"/>
      <c r="N2" s="316" t="s">
        <v>14</v>
      </c>
      <c r="O2" s="317"/>
      <c r="P2" s="316" t="s">
        <v>15</v>
      </c>
      <c r="Q2" s="317"/>
      <c r="R2" s="361" t="s">
        <v>3</v>
      </c>
      <c r="S2" s="314"/>
      <c r="T2" s="361" t="s">
        <v>12</v>
      </c>
      <c r="U2" s="314"/>
      <c r="V2" s="361" t="s">
        <v>13</v>
      </c>
      <c r="W2" s="312"/>
    </row>
    <row r="3" spans="1:23">
      <c r="A3" s="139"/>
      <c r="B3" s="139"/>
      <c r="C3" s="139"/>
      <c r="D3" s="65" t="s">
        <v>6</v>
      </c>
      <c r="E3" s="65" t="s">
        <v>7</v>
      </c>
      <c r="F3" s="65" t="s">
        <v>6</v>
      </c>
      <c r="G3" s="65" t="s">
        <v>7</v>
      </c>
      <c r="H3" s="228" t="s">
        <v>6</v>
      </c>
      <c r="I3" s="228" t="s">
        <v>7</v>
      </c>
      <c r="J3" s="65" t="s">
        <v>6</v>
      </c>
      <c r="K3" s="65" t="s">
        <v>7</v>
      </c>
      <c r="L3" s="65" t="s">
        <v>6</v>
      </c>
      <c r="M3" s="65" t="s">
        <v>7</v>
      </c>
      <c r="N3" s="65" t="s">
        <v>6</v>
      </c>
      <c r="O3" s="65" t="s">
        <v>7</v>
      </c>
      <c r="P3" s="65" t="s">
        <v>6</v>
      </c>
      <c r="Q3" s="65" t="s">
        <v>7</v>
      </c>
      <c r="R3" s="228" t="s">
        <v>6</v>
      </c>
      <c r="S3" s="228" t="s">
        <v>7</v>
      </c>
      <c r="T3" s="65" t="s">
        <v>6</v>
      </c>
      <c r="U3" s="65" t="s">
        <v>7</v>
      </c>
      <c r="V3" s="228" t="s">
        <v>6</v>
      </c>
      <c r="W3" s="228" t="s">
        <v>7</v>
      </c>
    </row>
    <row r="4" spans="1:23" ht="56.1" customHeight="1">
      <c r="A4" s="209" t="s">
        <v>209</v>
      </c>
      <c r="B4" s="210" t="s">
        <v>17</v>
      </c>
      <c r="C4" s="211" t="s">
        <v>161</v>
      </c>
      <c r="D4" s="58">
        <v>52</v>
      </c>
      <c r="E4" s="58">
        <v>45</v>
      </c>
      <c r="F4" s="58">
        <v>326</v>
      </c>
      <c r="G4" s="62">
        <v>415</v>
      </c>
      <c r="H4" s="212">
        <v>129</v>
      </c>
      <c r="I4" s="212">
        <v>179</v>
      </c>
      <c r="J4" s="58">
        <v>1490</v>
      </c>
      <c r="K4" s="58">
        <v>1686</v>
      </c>
      <c r="L4" s="58">
        <v>10</v>
      </c>
      <c r="M4" s="62">
        <v>13</v>
      </c>
      <c r="N4" s="58">
        <v>0</v>
      </c>
      <c r="O4" s="58">
        <v>3</v>
      </c>
      <c r="P4" s="23">
        <v>2</v>
      </c>
      <c r="Q4" s="24">
        <v>0</v>
      </c>
      <c r="R4" s="58">
        <v>11</v>
      </c>
      <c r="S4" s="58">
        <v>6</v>
      </c>
      <c r="T4" s="25">
        <v>33</v>
      </c>
      <c r="U4" s="25">
        <v>23</v>
      </c>
      <c r="V4" s="58">
        <v>14</v>
      </c>
      <c r="W4" s="58">
        <v>32</v>
      </c>
    </row>
    <row r="5" spans="1:23" ht="56.1" customHeight="1">
      <c r="A5" s="209" t="s">
        <v>209</v>
      </c>
      <c r="B5" s="210" t="s">
        <v>17</v>
      </c>
      <c r="C5" s="211" t="s">
        <v>162</v>
      </c>
      <c r="D5" s="58">
        <v>44</v>
      </c>
      <c r="E5" s="58">
        <v>68</v>
      </c>
      <c r="F5" s="58">
        <v>239</v>
      </c>
      <c r="G5" s="62">
        <v>570</v>
      </c>
      <c r="H5" s="212">
        <v>109</v>
      </c>
      <c r="I5" s="212">
        <v>223</v>
      </c>
      <c r="J5" s="58">
        <v>912</v>
      </c>
      <c r="K5" s="58">
        <v>1073</v>
      </c>
      <c r="L5" s="58">
        <v>13</v>
      </c>
      <c r="M5" s="62">
        <v>17</v>
      </c>
      <c r="N5" s="58">
        <v>1</v>
      </c>
      <c r="O5" s="58">
        <v>4</v>
      </c>
      <c r="P5" s="23">
        <v>2</v>
      </c>
      <c r="Q5" s="24">
        <v>1</v>
      </c>
      <c r="R5" s="58">
        <v>10</v>
      </c>
      <c r="S5" s="58">
        <v>6</v>
      </c>
      <c r="T5" s="25">
        <v>16</v>
      </c>
      <c r="U5" s="25">
        <v>49</v>
      </c>
      <c r="V5" s="58">
        <v>10</v>
      </c>
      <c r="W5" s="58">
        <v>23</v>
      </c>
    </row>
    <row r="6" spans="1:23" ht="56.1" customHeight="1">
      <c r="A6" s="209" t="s">
        <v>209</v>
      </c>
      <c r="B6" s="210" t="s">
        <v>21</v>
      </c>
      <c r="C6" s="211" t="s">
        <v>163</v>
      </c>
      <c r="D6" s="58">
        <v>215</v>
      </c>
      <c r="E6" s="58">
        <v>503</v>
      </c>
      <c r="F6" s="58">
        <v>810</v>
      </c>
      <c r="G6" s="62">
        <v>2023</v>
      </c>
      <c r="H6" s="212">
        <v>157</v>
      </c>
      <c r="I6" s="212">
        <v>412</v>
      </c>
      <c r="J6" s="58">
        <v>1435</v>
      </c>
      <c r="K6" s="58">
        <v>2175</v>
      </c>
      <c r="L6" s="58">
        <v>61</v>
      </c>
      <c r="M6" s="62">
        <v>141</v>
      </c>
      <c r="N6" s="58">
        <v>4</v>
      </c>
      <c r="O6" s="58">
        <v>9</v>
      </c>
      <c r="P6" s="23">
        <v>37</v>
      </c>
      <c r="Q6" s="24">
        <v>44</v>
      </c>
      <c r="R6" s="58">
        <v>33</v>
      </c>
      <c r="S6" s="58">
        <v>48</v>
      </c>
      <c r="T6" s="25">
        <v>95</v>
      </c>
      <c r="U6" s="25">
        <v>301</v>
      </c>
      <c r="V6" s="58">
        <v>38</v>
      </c>
      <c r="W6" s="58">
        <v>90</v>
      </c>
    </row>
    <row r="7" spans="1:23" ht="56.1" customHeight="1">
      <c r="A7" s="209" t="s">
        <v>209</v>
      </c>
      <c r="B7" s="210" t="s">
        <v>164</v>
      </c>
      <c r="C7" s="211" t="s">
        <v>165</v>
      </c>
      <c r="D7" s="58">
        <v>247</v>
      </c>
      <c r="E7" s="58">
        <v>194</v>
      </c>
      <c r="F7" s="58">
        <v>967</v>
      </c>
      <c r="G7" s="62">
        <v>720</v>
      </c>
      <c r="H7" s="212">
        <v>262</v>
      </c>
      <c r="I7" s="212">
        <v>140</v>
      </c>
      <c r="J7" s="58">
        <v>3755</v>
      </c>
      <c r="K7" s="58">
        <v>2269</v>
      </c>
      <c r="L7" s="58">
        <v>39</v>
      </c>
      <c r="M7" s="62">
        <v>24</v>
      </c>
      <c r="N7" s="58">
        <v>5</v>
      </c>
      <c r="O7" s="58">
        <v>3</v>
      </c>
      <c r="P7" s="23">
        <v>1</v>
      </c>
      <c r="Q7" s="24">
        <v>1</v>
      </c>
      <c r="R7" s="58">
        <v>16</v>
      </c>
      <c r="S7" s="58">
        <v>23</v>
      </c>
      <c r="T7" s="25">
        <v>77</v>
      </c>
      <c r="U7" s="25">
        <v>72</v>
      </c>
      <c r="V7" s="58">
        <v>75</v>
      </c>
      <c r="W7" s="58">
        <v>32</v>
      </c>
    </row>
    <row r="8" spans="1:23" ht="56.1" customHeight="1">
      <c r="A8" s="209" t="s">
        <v>209</v>
      </c>
      <c r="B8" s="210" t="s">
        <v>164</v>
      </c>
      <c r="C8" s="211" t="s">
        <v>166</v>
      </c>
      <c r="D8" s="58">
        <v>95</v>
      </c>
      <c r="E8" s="58">
        <v>190</v>
      </c>
      <c r="F8" s="58">
        <v>349</v>
      </c>
      <c r="G8" s="62">
        <v>682</v>
      </c>
      <c r="H8" s="212">
        <v>74</v>
      </c>
      <c r="I8" s="212">
        <v>130</v>
      </c>
      <c r="J8" s="58">
        <v>1476</v>
      </c>
      <c r="K8" s="58">
        <v>1547</v>
      </c>
      <c r="L8" s="58">
        <v>17</v>
      </c>
      <c r="M8" s="62">
        <v>29</v>
      </c>
      <c r="N8" s="58">
        <v>3</v>
      </c>
      <c r="O8" s="58">
        <v>3</v>
      </c>
      <c r="P8" s="23">
        <v>1</v>
      </c>
      <c r="Q8" s="24">
        <v>6</v>
      </c>
      <c r="R8" s="58">
        <v>12</v>
      </c>
      <c r="S8" s="58">
        <v>35</v>
      </c>
      <c r="T8" s="25">
        <v>51</v>
      </c>
      <c r="U8" s="25">
        <v>103</v>
      </c>
      <c r="V8" s="58">
        <v>10</v>
      </c>
      <c r="W8" s="58">
        <v>26</v>
      </c>
    </row>
    <row r="9" spans="1:23" ht="56.1" customHeight="1">
      <c r="A9" s="209" t="s">
        <v>209</v>
      </c>
      <c r="B9" s="210" t="s">
        <v>164</v>
      </c>
      <c r="C9" s="211" t="s">
        <v>167</v>
      </c>
      <c r="D9" s="58">
        <v>17</v>
      </c>
      <c r="E9" s="58">
        <v>25</v>
      </c>
      <c r="F9" s="58">
        <v>98</v>
      </c>
      <c r="G9" s="62">
        <v>250</v>
      </c>
      <c r="H9" s="212">
        <v>51</v>
      </c>
      <c r="I9" s="212">
        <v>138</v>
      </c>
      <c r="J9" s="58">
        <v>167</v>
      </c>
      <c r="K9" s="58">
        <v>414</v>
      </c>
      <c r="L9" s="58">
        <v>5</v>
      </c>
      <c r="M9" s="62">
        <v>14</v>
      </c>
      <c r="N9" s="58">
        <v>3</v>
      </c>
      <c r="O9" s="58">
        <v>3</v>
      </c>
      <c r="P9" s="23">
        <v>1</v>
      </c>
      <c r="Q9" s="24">
        <v>1</v>
      </c>
      <c r="R9" s="58">
        <v>0</v>
      </c>
      <c r="S9" s="58">
        <v>1</v>
      </c>
      <c r="T9" s="25">
        <v>3</v>
      </c>
      <c r="U9" s="25">
        <v>16</v>
      </c>
      <c r="V9" s="58">
        <v>12</v>
      </c>
      <c r="W9" s="58">
        <v>45</v>
      </c>
    </row>
    <row r="10" spans="1:23" ht="56.1" customHeight="1">
      <c r="A10" s="209" t="s">
        <v>209</v>
      </c>
      <c r="B10" s="210" t="s">
        <v>164</v>
      </c>
      <c r="C10" s="211" t="s">
        <v>168</v>
      </c>
      <c r="D10" s="58">
        <v>45</v>
      </c>
      <c r="E10" s="58">
        <v>150</v>
      </c>
      <c r="F10" s="58">
        <v>176</v>
      </c>
      <c r="G10" s="62">
        <v>490</v>
      </c>
      <c r="H10" s="212">
        <v>48</v>
      </c>
      <c r="I10" s="212">
        <v>88</v>
      </c>
      <c r="J10" s="58">
        <v>174</v>
      </c>
      <c r="K10" s="58">
        <v>353</v>
      </c>
      <c r="L10" s="58">
        <v>11</v>
      </c>
      <c r="M10" s="62">
        <v>42</v>
      </c>
      <c r="N10" s="58">
        <v>0</v>
      </c>
      <c r="O10" s="58">
        <v>2</v>
      </c>
      <c r="P10" s="23">
        <v>0</v>
      </c>
      <c r="Q10" s="24">
        <v>2</v>
      </c>
      <c r="R10" s="58">
        <v>5</v>
      </c>
      <c r="S10" s="58">
        <v>13</v>
      </c>
      <c r="T10" s="25">
        <v>16</v>
      </c>
      <c r="U10" s="25">
        <v>68</v>
      </c>
      <c r="V10" s="58">
        <v>11</v>
      </c>
      <c r="W10" s="58">
        <v>11</v>
      </c>
    </row>
    <row r="11" spans="1:23" ht="56.1" customHeight="1">
      <c r="A11" s="209" t="s">
        <v>209</v>
      </c>
      <c r="B11" s="210" t="s">
        <v>164</v>
      </c>
      <c r="C11" s="211" t="s">
        <v>169</v>
      </c>
      <c r="D11" s="58">
        <v>26</v>
      </c>
      <c r="E11" s="58">
        <v>93</v>
      </c>
      <c r="F11" s="58">
        <v>96</v>
      </c>
      <c r="G11" s="62">
        <v>361</v>
      </c>
      <c r="H11" s="212">
        <v>0</v>
      </c>
      <c r="I11" s="212">
        <v>0</v>
      </c>
      <c r="J11" s="58">
        <v>0</v>
      </c>
      <c r="K11" s="58">
        <v>0</v>
      </c>
      <c r="L11" s="58">
        <v>2</v>
      </c>
      <c r="M11" s="62">
        <v>8</v>
      </c>
      <c r="N11" s="58">
        <v>0</v>
      </c>
      <c r="O11" s="58">
        <v>0</v>
      </c>
      <c r="P11" s="23">
        <v>1</v>
      </c>
      <c r="Q11" s="24">
        <v>2</v>
      </c>
      <c r="R11" s="58">
        <v>3</v>
      </c>
      <c r="S11" s="58">
        <v>14</v>
      </c>
      <c r="T11" s="25">
        <v>0</v>
      </c>
      <c r="U11" s="25">
        <v>0</v>
      </c>
      <c r="V11" s="58">
        <v>0</v>
      </c>
      <c r="W11" s="58">
        <v>0</v>
      </c>
    </row>
    <row r="12" spans="1:23" ht="56.1" customHeight="1">
      <c r="A12" s="209" t="s">
        <v>209</v>
      </c>
      <c r="B12" s="210" t="s">
        <v>164</v>
      </c>
      <c r="C12" s="211" t="s">
        <v>170</v>
      </c>
      <c r="D12" s="58">
        <v>69</v>
      </c>
      <c r="E12" s="58">
        <v>65</v>
      </c>
      <c r="F12" s="58">
        <v>297</v>
      </c>
      <c r="G12" s="62">
        <v>229</v>
      </c>
      <c r="H12" s="212">
        <v>0</v>
      </c>
      <c r="I12" s="212">
        <v>0</v>
      </c>
      <c r="J12" s="58">
        <v>0</v>
      </c>
      <c r="K12" s="58">
        <v>0</v>
      </c>
      <c r="L12" s="58">
        <v>9</v>
      </c>
      <c r="M12" s="62">
        <v>3</v>
      </c>
      <c r="N12" s="58">
        <v>0</v>
      </c>
      <c r="O12" s="58">
        <v>0</v>
      </c>
      <c r="P12" s="23">
        <v>1</v>
      </c>
      <c r="Q12" s="24">
        <v>1</v>
      </c>
      <c r="R12" s="58">
        <v>7</v>
      </c>
      <c r="S12" s="58">
        <v>18</v>
      </c>
      <c r="T12" s="25">
        <v>0</v>
      </c>
      <c r="U12" s="25">
        <v>0</v>
      </c>
      <c r="V12" s="58">
        <v>0</v>
      </c>
      <c r="W12" s="58">
        <v>0</v>
      </c>
    </row>
    <row r="13" spans="1:23" ht="56.1" customHeight="1">
      <c r="A13" s="209" t="s">
        <v>209</v>
      </c>
      <c r="B13" s="210" t="s">
        <v>164</v>
      </c>
      <c r="C13" s="211" t="s">
        <v>171</v>
      </c>
      <c r="D13" s="58">
        <v>80</v>
      </c>
      <c r="E13" s="58">
        <v>78</v>
      </c>
      <c r="F13" s="58">
        <v>372</v>
      </c>
      <c r="G13" s="62">
        <v>336</v>
      </c>
      <c r="H13" s="212">
        <v>0</v>
      </c>
      <c r="I13" s="212">
        <v>0</v>
      </c>
      <c r="J13" s="58">
        <v>0</v>
      </c>
      <c r="K13" s="58">
        <v>0</v>
      </c>
      <c r="L13" s="58">
        <v>7</v>
      </c>
      <c r="M13" s="62">
        <v>6</v>
      </c>
      <c r="N13" s="58">
        <v>3</v>
      </c>
      <c r="O13" s="58">
        <v>1</v>
      </c>
      <c r="P13" s="23">
        <v>0</v>
      </c>
      <c r="Q13" s="24">
        <v>0</v>
      </c>
      <c r="R13" s="58">
        <v>11</v>
      </c>
      <c r="S13" s="58">
        <v>15</v>
      </c>
      <c r="T13" s="25">
        <v>0</v>
      </c>
      <c r="U13" s="25">
        <v>0</v>
      </c>
      <c r="V13" s="58">
        <v>0</v>
      </c>
      <c r="W13" s="58">
        <v>0</v>
      </c>
    </row>
    <row r="14" spans="1:23" ht="56.1" customHeight="1">
      <c r="A14" s="209" t="s">
        <v>209</v>
      </c>
      <c r="B14" s="210" t="s">
        <v>164</v>
      </c>
      <c r="C14" s="211" t="s">
        <v>172</v>
      </c>
      <c r="D14" s="58">
        <v>40</v>
      </c>
      <c r="E14" s="58">
        <v>55</v>
      </c>
      <c r="F14" s="58">
        <v>136</v>
      </c>
      <c r="G14" s="62">
        <v>226</v>
      </c>
      <c r="H14" s="212">
        <v>0</v>
      </c>
      <c r="I14" s="212">
        <v>0</v>
      </c>
      <c r="J14" s="58">
        <v>0</v>
      </c>
      <c r="K14" s="58">
        <v>0</v>
      </c>
      <c r="L14" s="58">
        <v>7</v>
      </c>
      <c r="M14" s="62">
        <v>4</v>
      </c>
      <c r="N14" s="58">
        <v>0</v>
      </c>
      <c r="O14" s="58">
        <v>2</v>
      </c>
      <c r="P14" s="23">
        <v>0</v>
      </c>
      <c r="Q14" s="24">
        <v>0</v>
      </c>
      <c r="R14" s="58">
        <v>0</v>
      </c>
      <c r="S14" s="58">
        <v>1</v>
      </c>
      <c r="T14" s="25">
        <v>0</v>
      </c>
      <c r="U14" s="25">
        <v>0</v>
      </c>
      <c r="V14" s="58">
        <v>0</v>
      </c>
      <c r="W14" s="58">
        <v>0</v>
      </c>
    </row>
    <row r="15" spans="1:23" ht="56.1" customHeight="1">
      <c r="A15" s="209" t="s">
        <v>209</v>
      </c>
      <c r="B15" s="210" t="s">
        <v>40</v>
      </c>
      <c r="C15" s="211" t="s">
        <v>173</v>
      </c>
      <c r="D15" s="58">
        <v>74</v>
      </c>
      <c r="E15" s="58">
        <v>206</v>
      </c>
      <c r="F15" s="58">
        <v>318</v>
      </c>
      <c r="G15" s="62">
        <v>1017</v>
      </c>
      <c r="H15" s="212">
        <v>63</v>
      </c>
      <c r="I15" s="212">
        <v>212</v>
      </c>
      <c r="J15" s="58">
        <v>464</v>
      </c>
      <c r="K15" s="58">
        <v>1158</v>
      </c>
      <c r="L15" s="58">
        <v>22</v>
      </c>
      <c r="M15" s="62">
        <v>47</v>
      </c>
      <c r="N15" s="58">
        <v>0</v>
      </c>
      <c r="O15" s="58">
        <v>2</v>
      </c>
      <c r="P15" s="26">
        <v>1</v>
      </c>
      <c r="Q15" s="27">
        <v>0</v>
      </c>
      <c r="R15" s="58">
        <v>6</v>
      </c>
      <c r="S15" s="58">
        <v>37</v>
      </c>
      <c r="T15" s="25">
        <v>40</v>
      </c>
      <c r="U15" s="25">
        <v>179</v>
      </c>
      <c r="V15" s="58">
        <v>9</v>
      </c>
      <c r="W15" s="58">
        <v>27</v>
      </c>
    </row>
    <row r="16" spans="1:23" ht="56.1" customHeight="1">
      <c r="A16" s="209" t="s">
        <v>209</v>
      </c>
      <c r="B16" s="210" t="s">
        <v>40</v>
      </c>
      <c r="C16" s="211" t="s">
        <v>210</v>
      </c>
      <c r="D16" s="130">
        <v>122</v>
      </c>
      <c r="E16" s="58">
        <v>178</v>
      </c>
      <c r="F16" s="58">
        <v>474</v>
      </c>
      <c r="G16" s="62">
        <v>713</v>
      </c>
      <c r="H16" s="212">
        <v>128</v>
      </c>
      <c r="I16" s="212">
        <v>260</v>
      </c>
      <c r="J16" s="58">
        <v>713</v>
      </c>
      <c r="K16" s="58">
        <v>1676</v>
      </c>
      <c r="L16" s="58">
        <v>13</v>
      </c>
      <c r="M16" s="62">
        <v>20</v>
      </c>
      <c r="N16" s="58">
        <v>3</v>
      </c>
      <c r="O16" s="58">
        <v>3</v>
      </c>
      <c r="P16" s="23">
        <v>5</v>
      </c>
      <c r="Q16" s="24">
        <v>2</v>
      </c>
      <c r="R16" s="58">
        <v>24</v>
      </c>
      <c r="S16" s="58">
        <v>17</v>
      </c>
      <c r="T16" s="25">
        <v>45</v>
      </c>
      <c r="U16" s="25">
        <v>112</v>
      </c>
      <c r="V16" s="58">
        <v>20</v>
      </c>
      <c r="W16" s="58">
        <v>54</v>
      </c>
    </row>
    <row r="17" spans="1:23" ht="56.1" customHeight="1">
      <c r="A17" s="213" t="s">
        <v>209</v>
      </c>
      <c r="B17" s="214" t="s">
        <v>40</v>
      </c>
      <c r="C17" s="215" t="s">
        <v>174</v>
      </c>
      <c r="D17" s="58">
        <v>0</v>
      </c>
      <c r="E17" s="58">
        <v>0</v>
      </c>
      <c r="F17" s="58">
        <v>1</v>
      </c>
      <c r="G17" s="62">
        <v>1</v>
      </c>
      <c r="H17" s="212">
        <v>21</v>
      </c>
      <c r="I17" s="212">
        <v>65</v>
      </c>
      <c r="J17" s="58">
        <v>484</v>
      </c>
      <c r="K17" s="58">
        <v>1437</v>
      </c>
      <c r="L17" s="58">
        <v>0</v>
      </c>
      <c r="M17" s="62">
        <v>0</v>
      </c>
      <c r="N17" s="58">
        <v>0</v>
      </c>
      <c r="O17" s="58">
        <v>0</v>
      </c>
      <c r="P17" s="23">
        <v>2</v>
      </c>
      <c r="Q17" s="24">
        <v>0</v>
      </c>
      <c r="R17" s="58">
        <v>0</v>
      </c>
      <c r="S17" s="58">
        <v>0</v>
      </c>
      <c r="T17" s="25">
        <v>2</v>
      </c>
      <c r="U17" s="25">
        <v>9</v>
      </c>
      <c r="V17" s="58">
        <v>7</v>
      </c>
      <c r="W17" s="58">
        <v>18</v>
      </c>
    </row>
    <row r="18" spans="1:23" ht="56.1" customHeight="1">
      <c r="A18" s="209" t="s">
        <v>209</v>
      </c>
      <c r="B18" s="210" t="s">
        <v>40</v>
      </c>
      <c r="C18" s="211" t="s">
        <v>175</v>
      </c>
      <c r="D18" s="58">
        <v>23</v>
      </c>
      <c r="E18" s="58">
        <v>153</v>
      </c>
      <c r="F18" s="58">
        <v>112</v>
      </c>
      <c r="G18" s="62">
        <v>554</v>
      </c>
      <c r="H18" s="212">
        <v>0</v>
      </c>
      <c r="I18" s="212">
        <v>0</v>
      </c>
      <c r="J18" s="58">
        <v>0</v>
      </c>
      <c r="K18" s="58">
        <v>0</v>
      </c>
      <c r="L18" s="58">
        <v>2</v>
      </c>
      <c r="M18" s="62">
        <v>2</v>
      </c>
      <c r="N18" s="58">
        <v>0</v>
      </c>
      <c r="O18" s="58">
        <v>5</v>
      </c>
      <c r="P18" s="23">
        <v>0</v>
      </c>
      <c r="Q18" s="24">
        <v>0</v>
      </c>
      <c r="R18" s="58">
        <v>5</v>
      </c>
      <c r="S18" s="58">
        <v>29</v>
      </c>
      <c r="T18" s="25">
        <v>0</v>
      </c>
      <c r="U18" s="25">
        <v>0</v>
      </c>
      <c r="V18" s="58">
        <v>0</v>
      </c>
      <c r="W18" s="58">
        <v>0</v>
      </c>
    </row>
    <row r="19" spans="1:23" ht="56.1" customHeight="1">
      <c r="A19" s="209" t="s">
        <v>209</v>
      </c>
      <c r="B19" s="210" t="s">
        <v>40</v>
      </c>
      <c r="C19" s="211" t="s">
        <v>176</v>
      </c>
      <c r="D19" s="58">
        <v>52</v>
      </c>
      <c r="E19" s="58">
        <v>66</v>
      </c>
      <c r="F19" s="58">
        <v>249</v>
      </c>
      <c r="G19" s="62">
        <v>516</v>
      </c>
      <c r="H19" s="212">
        <v>0</v>
      </c>
      <c r="I19" s="212">
        <v>0</v>
      </c>
      <c r="J19" s="58">
        <v>0</v>
      </c>
      <c r="K19" s="58">
        <v>0</v>
      </c>
      <c r="L19" s="58">
        <v>7</v>
      </c>
      <c r="M19" s="62">
        <v>12</v>
      </c>
      <c r="N19" s="58">
        <v>1</v>
      </c>
      <c r="O19" s="58">
        <v>1</v>
      </c>
      <c r="P19" s="23">
        <v>1</v>
      </c>
      <c r="Q19" s="24">
        <v>0</v>
      </c>
      <c r="R19" s="58">
        <v>13</v>
      </c>
      <c r="S19" s="58">
        <v>39</v>
      </c>
      <c r="T19" s="25">
        <v>0</v>
      </c>
      <c r="U19" s="25">
        <v>0</v>
      </c>
      <c r="V19" s="58">
        <v>0</v>
      </c>
      <c r="W19" s="58">
        <v>0</v>
      </c>
    </row>
    <row r="20" spans="1:23" ht="56.1" customHeight="1">
      <c r="A20" s="209" t="s">
        <v>209</v>
      </c>
      <c r="B20" s="210" t="s">
        <v>40</v>
      </c>
      <c r="C20" s="211" t="s">
        <v>177</v>
      </c>
      <c r="D20" s="58">
        <v>53</v>
      </c>
      <c r="E20" s="58">
        <v>248</v>
      </c>
      <c r="F20" s="58">
        <v>201</v>
      </c>
      <c r="G20" s="62">
        <v>1080</v>
      </c>
      <c r="H20" s="212">
        <v>15</v>
      </c>
      <c r="I20" s="212">
        <v>97</v>
      </c>
      <c r="J20" s="58">
        <v>107</v>
      </c>
      <c r="K20" s="58">
        <v>369</v>
      </c>
      <c r="L20" s="58">
        <v>3</v>
      </c>
      <c r="M20" s="62">
        <v>20</v>
      </c>
      <c r="N20" s="58">
        <v>2</v>
      </c>
      <c r="O20" s="58">
        <v>1</v>
      </c>
      <c r="P20" s="23">
        <v>0</v>
      </c>
      <c r="Q20" s="24">
        <v>0</v>
      </c>
      <c r="R20" s="58">
        <v>29</v>
      </c>
      <c r="S20" s="58">
        <v>280</v>
      </c>
      <c r="T20" s="25">
        <v>19</v>
      </c>
      <c r="U20" s="25">
        <v>140</v>
      </c>
      <c r="V20" s="58">
        <v>6</v>
      </c>
      <c r="W20" s="58">
        <v>17</v>
      </c>
    </row>
    <row r="21" spans="1:23" ht="56.1" customHeight="1">
      <c r="A21" s="209" t="s">
        <v>209</v>
      </c>
      <c r="B21" s="210" t="s">
        <v>40</v>
      </c>
      <c r="C21" s="211" t="s">
        <v>178</v>
      </c>
      <c r="D21" s="58">
        <v>42</v>
      </c>
      <c r="E21" s="58">
        <v>252</v>
      </c>
      <c r="F21" s="58">
        <v>144</v>
      </c>
      <c r="G21" s="62">
        <v>816</v>
      </c>
      <c r="H21" s="212">
        <v>20</v>
      </c>
      <c r="I21" s="212">
        <v>94</v>
      </c>
      <c r="J21" s="58">
        <v>841</v>
      </c>
      <c r="K21" s="58">
        <v>2126</v>
      </c>
      <c r="L21" s="58">
        <v>6</v>
      </c>
      <c r="M21" s="62">
        <v>21</v>
      </c>
      <c r="N21" s="58">
        <v>2</v>
      </c>
      <c r="O21" s="58">
        <v>4</v>
      </c>
      <c r="P21" s="23">
        <v>1</v>
      </c>
      <c r="Q21" s="24">
        <v>2</v>
      </c>
      <c r="R21" s="58">
        <v>5</v>
      </c>
      <c r="S21" s="58">
        <v>89</v>
      </c>
      <c r="T21" s="25">
        <v>10</v>
      </c>
      <c r="U21" s="25">
        <v>98</v>
      </c>
      <c r="V21" s="58">
        <v>3</v>
      </c>
      <c r="W21" s="58">
        <v>18</v>
      </c>
    </row>
    <row r="22" spans="1:23" ht="56.1" customHeight="1">
      <c r="A22" s="209" t="s">
        <v>209</v>
      </c>
      <c r="B22" s="210" t="s">
        <v>40</v>
      </c>
      <c r="C22" s="211" t="s">
        <v>179</v>
      </c>
      <c r="D22" s="58">
        <v>16</v>
      </c>
      <c r="E22" s="58">
        <v>52</v>
      </c>
      <c r="F22" s="58">
        <v>68</v>
      </c>
      <c r="G22" s="62">
        <v>312</v>
      </c>
      <c r="H22" s="212">
        <v>23</v>
      </c>
      <c r="I22" s="212">
        <v>175</v>
      </c>
      <c r="J22" s="58">
        <v>293</v>
      </c>
      <c r="K22" s="58">
        <v>2067</v>
      </c>
      <c r="L22" s="58">
        <v>10</v>
      </c>
      <c r="M22" s="62">
        <v>19</v>
      </c>
      <c r="N22" s="58">
        <v>0</v>
      </c>
      <c r="O22" s="58">
        <v>5</v>
      </c>
      <c r="P22" s="23">
        <v>0</v>
      </c>
      <c r="Q22" s="24">
        <v>3</v>
      </c>
      <c r="R22" s="58">
        <v>0</v>
      </c>
      <c r="S22" s="58">
        <v>7</v>
      </c>
      <c r="T22" s="25">
        <v>6</v>
      </c>
      <c r="U22" s="25">
        <v>29</v>
      </c>
      <c r="V22" s="58">
        <v>7</v>
      </c>
      <c r="W22" s="58">
        <v>45</v>
      </c>
    </row>
    <row r="23" spans="1:23" ht="56.1" customHeight="1">
      <c r="A23" s="209" t="s">
        <v>209</v>
      </c>
      <c r="B23" s="210" t="s">
        <v>40</v>
      </c>
      <c r="C23" s="211" t="s">
        <v>180</v>
      </c>
      <c r="D23" s="58">
        <v>15</v>
      </c>
      <c r="E23" s="58">
        <v>41</v>
      </c>
      <c r="F23" s="58">
        <v>93</v>
      </c>
      <c r="G23" s="62">
        <v>289</v>
      </c>
      <c r="H23" s="212">
        <v>38</v>
      </c>
      <c r="I23" s="212">
        <v>137</v>
      </c>
      <c r="J23" s="58">
        <v>235</v>
      </c>
      <c r="K23" s="58">
        <v>701</v>
      </c>
      <c r="L23" s="58">
        <v>6</v>
      </c>
      <c r="M23" s="62">
        <v>12</v>
      </c>
      <c r="N23" s="58">
        <v>4</v>
      </c>
      <c r="O23" s="58">
        <v>4</v>
      </c>
      <c r="P23" s="23">
        <v>0</v>
      </c>
      <c r="Q23" s="24">
        <v>1</v>
      </c>
      <c r="R23" s="58">
        <v>5</v>
      </c>
      <c r="S23" s="58">
        <v>14</v>
      </c>
      <c r="T23" s="25">
        <v>5</v>
      </c>
      <c r="U23" s="25">
        <v>54</v>
      </c>
      <c r="V23" s="58">
        <v>7</v>
      </c>
      <c r="W23" s="58">
        <v>22</v>
      </c>
    </row>
    <row r="24" spans="1:23" ht="56.1" customHeight="1">
      <c r="A24" s="209" t="s">
        <v>209</v>
      </c>
      <c r="B24" s="210" t="s">
        <v>40</v>
      </c>
      <c r="C24" s="211" t="s">
        <v>182</v>
      </c>
      <c r="D24" s="58">
        <v>5</v>
      </c>
      <c r="E24" s="58">
        <v>26</v>
      </c>
      <c r="F24" s="58">
        <v>44</v>
      </c>
      <c r="G24" s="62">
        <v>195</v>
      </c>
      <c r="H24" s="212">
        <v>29</v>
      </c>
      <c r="I24" s="212">
        <v>87</v>
      </c>
      <c r="J24" s="58">
        <v>91</v>
      </c>
      <c r="K24" s="58">
        <v>371</v>
      </c>
      <c r="L24" s="58">
        <v>0</v>
      </c>
      <c r="M24" s="62">
        <v>2</v>
      </c>
      <c r="N24" s="58">
        <v>1</v>
      </c>
      <c r="O24" s="58">
        <v>1</v>
      </c>
      <c r="P24" s="23">
        <v>0</v>
      </c>
      <c r="Q24" s="24">
        <v>0</v>
      </c>
      <c r="R24" s="58">
        <v>6</v>
      </c>
      <c r="S24" s="58">
        <v>20</v>
      </c>
      <c r="T24" s="25">
        <v>11</v>
      </c>
      <c r="U24" s="25">
        <v>26</v>
      </c>
      <c r="V24" s="58">
        <v>5</v>
      </c>
      <c r="W24" s="58">
        <v>19</v>
      </c>
    </row>
    <row r="25" spans="1:23" ht="56.1" customHeight="1">
      <c r="A25" s="209" t="s">
        <v>209</v>
      </c>
      <c r="B25" s="210" t="s">
        <v>40</v>
      </c>
      <c r="C25" s="211" t="s">
        <v>181</v>
      </c>
      <c r="D25" s="58">
        <v>11</v>
      </c>
      <c r="E25" s="58">
        <v>48</v>
      </c>
      <c r="F25" s="58">
        <v>57</v>
      </c>
      <c r="G25" s="62">
        <v>264</v>
      </c>
      <c r="H25" s="212">
        <v>17</v>
      </c>
      <c r="I25" s="212">
        <v>87</v>
      </c>
      <c r="J25" s="58">
        <v>100</v>
      </c>
      <c r="K25" s="58">
        <v>378</v>
      </c>
      <c r="L25" s="58">
        <v>4</v>
      </c>
      <c r="M25" s="62">
        <v>5</v>
      </c>
      <c r="N25" s="58">
        <v>2</v>
      </c>
      <c r="O25" s="58">
        <v>6</v>
      </c>
      <c r="P25" s="23">
        <v>0</v>
      </c>
      <c r="Q25" s="24">
        <v>4</v>
      </c>
      <c r="R25" s="58">
        <v>7</v>
      </c>
      <c r="S25" s="58">
        <v>14</v>
      </c>
      <c r="T25" s="25">
        <v>7</v>
      </c>
      <c r="U25" s="25">
        <v>22</v>
      </c>
      <c r="V25" s="58">
        <v>4</v>
      </c>
      <c r="W25" s="58">
        <v>12</v>
      </c>
    </row>
    <row r="26" spans="1:23" ht="56.1" customHeight="1">
      <c r="A26" s="209" t="s">
        <v>209</v>
      </c>
      <c r="B26" s="210" t="s">
        <v>40</v>
      </c>
      <c r="C26" s="211" t="s">
        <v>183</v>
      </c>
      <c r="D26" s="58">
        <v>23</v>
      </c>
      <c r="E26" s="58">
        <v>134</v>
      </c>
      <c r="F26" s="58">
        <v>85</v>
      </c>
      <c r="G26" s="62">
        <v>497</v>
      </c>
      <c r="H26" s="212">
        <v>26</v>
      </c>
      <c r="I26" s="212">
        <v>175</v>
      </c>
      <c r="J26" s="58">
        <v>188</v>
      </c>
      <c r="K26" s="58">
        <v>633</v>
      </c>
      <c r="L26" s="58">
        <v>5</v>
      </c>
      <c r="M26" s="62">
        <v>19</v>
      </c>
      <c r="N26" s="58">
        <v>0</v>
      </c>
      <c r="O26" s="58">
        <v>2</v>
      </c>
      <c r="P26" s="23">
        <v>0</v>
      </c>
      <c r="Q26" s="24">
        <v>0</v>
      </c>
      <c r="R26" s="58">
        <v>2</v>
      </c>
      <c r="S26" s="58">
        <v>7</v>
      </c>
      <c r="T26" s="25">
        <v>5</v>
      </c>
      <c r="U26" s="25">
        <v>32</v>
      </c>
      <c r="V26" s="58">
        <v>6</v>
      </c>
      <c r="W26" s="58">
        <v>22</v>
      </c>
    </row>
    <row r="27" spans="1:23" ht="56.1" customHeight="1">
      <c r="A27" s="209" t="s">
        <v>209</v>
      </c>
      <c r="B27" s="210" t="s">
        <v>40</v>
      </c>
      <c r="C27" s="211" t="s">
        <v>638</v>
      </c>
      <c r="D27" s="58">
        <v>44</v>
      </c>
      <c r="E27" s="58">
        <v>27</v>
      </c>
      <c r="F27" s="58">
        <v>205</v>
      </c>
      <c r="G27" s="58">
        <v>212</v>
      </c>
      <c r="H27" s="130">
        <v>82</v>
      </c>
      <c r="I27" s="130">
        <v>96</v>
      </c>
      <c r="J27" s="58">
        <v>240</v>
      </c>
      <c r="K27" s="58">
        <v>213</v>
      </c>
      <c r="L27" s="58">
        <v>3</v>
      </c>
      <c r="M27" s="62">
        <v>1</v>
      </c>
      <c r="N27" s="58">
        <v>0</v>
      </c>
      <c r="O27" s="58">
        <v>0</v>
      </c>
      <c r="P27" s="23">
        <v>0</v>
      </c>
      <c r="Q27" s="24">
        <v>0</v>
      </c>
      <c r="R27" s="58">
        <v>3</v>
      </c>
      <c r="S27" s="58">
        <v>2</v>
      </c>
      <c r="T27" s="25">
        <v>9</v>
      </c>
      <c r="U27" s="25">
        <v>12</v>
      </c>
      <c r="V27" s="58">
        <v>8</v>
      </c>
      <c r="W27" s="58">
        <v>10</v>
      </c>
    </row>
    <row r="28" spans="1:23" ht="56.1" customHeight="1">
      <c r="A28" s="209" t="s">
        <v>209</v>
      </c>
      <c r="B28" s="210" t="s">
        <v>40</v>
      </c>
      <c r="C28" s="211" t="s">
        <v>184</v>
      </c>
      <c r="D28" s="58">
        <v>14</v>
      </c>
      <c r="E28" s="58">
        <v>76</v>
      </c>
      <c r="F28" s="58">
        <v>72</v>
      </c>
      <c r="G28" s="62">
        <v>260</v>
      </c>
      <c r="H28" s="212">
        <v>20</v>
      </c>
      <c r="I28" s="212">
        <v>74</v>
      </c>
      <c r="J28" s="58">
        <v>50</v>
      </c>
      <c r="K28" s="58">
        <v>132</v>
      </c>
      <c r="L28" s="58">
        <v>7</v>
      </c>
      <c r="M28" s="62">
        <v>12</v>
      </c>
      <c r="N28" s="58">
        <v>0</v>
      </c>
      <c r="O28" s="58">
        <v>0</v>
      </c>
      <c r="P28" s="23">
        <v>1</v>
      </c>
      <c r="Q28" s="24">
        <v>0</v>
      </c>
      <c r="R28" s="58">
        <v>2</v>
      </c>
      <c r="S28" s="58">
        <v>7</v>
      </c>
      <c r="T28" s="25">
        <v>6</v>
      </c>
      <c r="U28" s="25">
        <v>27</v>
      </c>
      <c r="V28" s="58">
        <v>4</v>
      </c>
      <c r="W28" s="58">
        <v>9</v>
      </c>
    </row>
    <row r="29" spans="1:23" ht="57" customHeight="1">
      <c r="A29" s="216" t="s">
        <v>209</v>
      </c>
      <c r="B29" s="217" t="s">
        <v>40</v>
      </c>
      <c r="C29" s="218" t="s">
        <v>185</v>
      </c>
      <c r="D29" s="212">
        <v>8</v>
      </c>
      <c r="E29" s="212">
        <v>19</v>
      </c>
      <c r="F29" s="212">
        <v>27</v>
      </c>
      <c r="G29" s="219">
        <v>33</v>
      </c>
      <c r="H29" s="212">
        <v>0</v>
      </c>
      <c r="I29" s="212">
        <v>0</v>
      </c>
      <c r="J29" s="212">
        <v>0</v>
      </c>
      <c r="K29" s="212">
        <v>0</v>
      </c>
      <c r="L29" s="212">
        <v>5</v>
      </c>
      <c r="M29" s="219">
        <v>8</v>
      </c>
      <c r="N29" s="212">
        <v>3</v>
      </c>
      <c r="O29" s="212">
        <v>3</v>
      </c>
      <c r="P29" s="23" t="s">
        <v>186</v>
      </c>
      <c r="Q29" s="24" t="s">
        <v>186</v>
      </c>
      <c r="R29" s="220">
        <v>0</v>
      </c>
      <c r="S29" s="220">
        <v>0</v>
      </c>
      <c r="T29" s="25">
        <v>0</v>
      </c>
      <c r="U29" s="25">
        <v>0</v>
      </c>
      <c r="V29" s="220">
        <v>0</v>
      </c>
      <c r="W29" s="220">
        <v>0</v>
      </c>
    </row>
    <row r="30" spans="1:23" ht="56.1" customHeight="1">
      <c r="A30" s="209" t="s">
        <v>209</v>
      </c>
      <c r="B30" s="210" t="s">
        <v>29</v>
      </c>
      <c r="C30" s="211" t="s">
        <v>187</v>
      </c>
      <c r="D30" s="58">
        <v>146</v>
      </c>
      <c r="E30" s="58">
        <v>78</v>
      </c>
      <c r="F30" s="58">
        <v>611</v>
      </c>
      <c r="G30" s="62">
        <v>362</v>
      </c>
      <c r="H30" s="212">
        <v>219</v>
      </c>
      <c r="I30" s="212">
        <v>133</v>
      </c>
      <c r="J30" s="58">
        <v>1939</v>
      </c>
      <c r="K30" s="58">
        <v>628</v>
      </c>
      <c r="L30" s="58">
        <v>20</v>
      </c>
      <c r="M30" s="62">
        <v>11</v>
      </c>
      <c r="N30" s="58">
        <v>8</v>
      </c>
      <c r="O30" s="58">
        <v>0</v>
      </c>
      <c r="P30" s="23">
        <v>13</v>
      </c>
      <c r="Q30" s="24">
        <v>5</v>
      </c>
      <c r="R30" s="58">
        <v>4</v>
      </c>
      <c r="S30" s="58">
        <v>2</v>
      </c>
      <c r="T30" s="25">
        <v>49</v>
      </c>
      <c r="U30" s="25">
        <v>13</v>
      </c>
      <c r="V30" s="58">
        <v>68</v>
      </c>
      <c r="W30" s="58">
        <v>36</v>
      </c>
    </row>
    <row r="31" spans="1:23" ht="56.1" customHeight="1">
      <c r="A31" s="209" t="s">
        <v>209</v>
      </c>
      <c r="B31" s="210" t="s">
        <v>29</v>
      </c>
      <c r="C31" s="211" t="s">
        <v>188</v>
      </c>
      <c r="D31" s="58">
        <v>56</v>
      </c>
      <c r="E31" s="58">
        <v>114</v>
      </c>
      <c r="F31" s="58">
        <v>227</v>
      </c>
      <c r="G31" s="62">
        <v>381</v>
      </c>
      <c r="H31" s="212">
        <v>37</v>
      </c>
      <c r="I31" s="212">
        <v>47</v>
      </c>
      <c r="J31" s="58">
        <v>600</v>
      </c>
      <c r="K31" s="58">
        <v>526</v>
      </c>
      <c r="L31" s="58">
        <v>9</v>
      </c>
      <c r="M31" s="62">
        <v>18</v>
      </c>
      <c r="N31" s="58">
        <v>1</v>
      </c>
      <c r="O31" s="58">
        <v>1</v>
      </c>
      <c r="P31" s="23">
        <v>0</v>
      </c>
      <c r="Q31" s="24">
        <v>0</v>
      </c>
      <c r="R31" s="58">
        <v>7</v>
      </c>
      <c r="S31" s="58">
        <v>18</v>
      </c>
      <c r="T31" s="25">
        <v>20</v>
      </c>
      <c r="U31" s="25">
        <v>60</v>
      </c>
      <c r="V31" s="58">
        <v>11</v>
      </c>
      <c r="W31" s="58">
        <v>14</v>
      </c>
    </row>
    <row r="32" spans="1:23" ht="56.1" customHeight="1">
      <c r="A32" s="209" t="s">
        <v>209</v>
      </c>
      <c r="B32" s="210" t="s">
        <v>29</v>
      </c>
      <c r="C32" s="211" t="s">
        <v>189</v>
      </c>
      <c r="D32" s="58">
        <v>118</v>
      </c>
      <c r="E32" s="58">
        <v>115</v>
      </c>
      <c r="F32" s="58">
        <v>581</v>
      </c>
      <c r="G32" s="62">
        <v>507</v>
      </c>
      <c r="H32" s="212">
        <v>258</v>
      </c>
      <c r="I32" s="212">
        <v>199</v>
      </c>
      <c r="J32" s="58">
        <v>2165</v>
      </c>
      <c r="K32" s="58">
        <v>1135</v>
      </c>
      <c r="L32" s="58">
        <v>37</v>
      </c>
      <c r="M32" s="62">
        <v>17</v>
      </c>
      <c r="N32" s="58">
        <v>1</v>
      </c>
      <c r="O32" s="58">
        <v>5</v>
      </c>
      <c r="P32" s="23">
        <v>8</v>
      </c>
      <c r="Q32" s="24">
        <v>4</v>
      </c>
      <c r="R32" s="58">
        <v>10</v>
      </c>
      <c r="S32" s="58">
        <v>6</v>
      </c>
      <c r="T32" s="25">
        <v>49</v>
      </c>
      <c r="U32" s="25">
        <v>24</v>
      </c>
      <c r="V32" s="58">
        <v>53</v>
      </c>
      <c r="W32" s="58">
        <v>50</v>
      </c>
    </row>
    <row r="33" spans="1:23" ht="56.1" customHeight="1">
      <c r="A33" s="209" t="s">
        <v>209</v>
      </c>
      <c r="B33" s="210" t="s">
        <v>29</v>
      </c>
      <c r="C33" s="211" t="s">
        <v>190</v>
      </c>
      <c r="D33" s="58">
        <v>66</v>
      </c>
      <c r="E33" s="58">
        <v>99</v>
      </c>
      <c r="F33" s="58">
        <v>222</v>
      </c>
      <c r="G33" s="62">
        <v>406</v>
      </c>
      <c r="H33" s="212">
        <v>68</v>
      </c>
      <c r="I33" s="212">
        <v>82</v>
      </c>
      <c r="J33" s="58">
        <v>475</v>
      </c>
      <c r="K33" s="58">
        <v>491</v>
      </c>
      <c r="L33" s="58">
        <v>21</v>
      </c>
      <c r="M33" s="62">
        <v>20</v>
      </c>
      <c r="N33" s="58">
        <v>4</v>
      </c>
      <c r="O33" s="58">
        <v>6</v>
      </c>
      <c r="P33" s="23">
        <v>3</v>
      </c>
      <c r="Q33" s="24">
        <v>3</v>
      </c>
      <c r="R33" s="58">
        <v>4</v>
      </c>
      <c r="S33" s="58">
        <v>8</v>
      </c>
      <c r="T33" s="25">
        <v>21</v>
      </c>
      <c r="U33" s="25">
        <v>42</v>
      </c>
      <c r="V33" s="58">
        <v>20</v>
      </c>
      <c r="W33" s="58">
        <v>33</v>
      </c>
    </row>
    <row r="34" spans="1:23" ht="56.1" customHeight="1">
      <c r="A34" s="209" t="s">
        <v>209</v>
      </c>
      <c r="B34" s="210" t="s">
        <v>29</v>
      </c>
      <c r="C34" s="211" t="s">
        <v>191</v>
      </c>
      <c r="D34" s="58">
        <v>34</v>
      </c>
      <c r="E34" s="58">
        <v>26</v>
      </c>
      <c r="F34" s="58">
        <v>196</v>
      </c>
      <c r="G34" s="62">
        <v>217</v>
      </c>
      <c r="H34" s="212">
        <v>111</v>
      </c>
      <c r="I34" s="212">
        <v>113</v>
      </c>
      <c r="J34" s="58">
        <v>811</v>
      </c>
      <c r="K34" s="58">
        <v>484</v>
      </c>
      <c r="L34" s="58">
        <v>6</v>
      </c>
      <c r="M34" s="62">
        <v>7</v>
      </c>
      <c r="N34" s="58">
        <v>4</v>
      </c>
      <c r="O34" s="58">
        <v>3</v>
      </c>
      <c r="P34" s="23">
        <v>0</v>
      </c>
      <c r="Q34" s="24">
        <v>0</v>
      </c>
      <c r="R34" s="58">
        <v>0</v>
      </c>
      <c r="S34" s="58">
        <v>0</v>
      </c>
      <c r="T34" s="25">
        <v>8</v>
      </c>
      <c r="U34" s="25">
        <v>13</v>
      </c>
      <c r="V34" s="58">
        <v>20</v>
      </c>
      <c r="W34" s="58">
        <v>15</v>
      </c>
    </row>
    <row r="35" spans="1:23" ht="56.1" customHeight="1">
      <c r="A35" s="209" t="s">
        <v>209</v>
      </c>
      <c r="B35" s="210" t="s">
        <v>29</v>
      </c>
      <c r="C35" s="211" t="s">
        <v>192</v>
      </c>
      <c r="D35" s="58">
        <v>215</v>
      </c>
      <c r="E35" s="58">
        <v>68</v>
      </c>
      <c r="F35" s="58">
        <v>868</v>
      </c>
      <c r="G35" s="62">
        <v>236</v>
      </c>
      <c r="H35" s="212">
        <v>324</v>
      </c>
      <c r="I35" s="212">
        <v>70</v>
      </c>
      <c r="J35" s="58">
        <v>1173</v>
      </c>
      <c r="K35" s="58">
        <v>189</v>
      </c>
      <c r="L35" s="58">
        <v>29</v>
      </c>
      <c r="M35" s="62">
        <v>13</v>
      </c>
      <c r="N35" s="58">
        <v>10</v>
      </c>
      <c r="O35" s="58">
        <v>1</v>
      </c>
      <c r="P35" s="23">
        <v>40</v>
      </c>
      <c r="Q35" s="24">
        <v>4</v>
      </c>
      <c r="R35" s="58">
        <v>12</v>
      </c>
      <c r="S35" s="58">
        <v>1</v>
      </c>
      <c r="T35" s="25">
        <v>88</v>
      </c>
      <c r="U35" s="25">
        <v>17</v>
      </c>
      <c r="V35" s="58">
        <v>69</v>
      </c>
      <c r="W35" s="58">
        <v>15</v>
      </c>
    </row>
    <row r="36" spans="1:23" ht="56.1" customHeight="1">
      <c r="A36" s="209" t="s">
        <v>209</v>
      </c>
      <c r="B36" s="210" t="s">
        <v>29</v>
      </c>
      <c r="C36" s="211" t="s">
        <v>193</v>
      </c>
      <c r="D36" s="58">
        <v>49</v>
      </c>
      <c r="E36" s="58">
        <v>84</v>
      </c>
      <c r="F36" s="58">
        <v>173</v>
      </c>
      <c r="G36" s="62">
        <v>298</v>
      </c>
      <c r="H36" s="212">
        <v>65</v>
      </c>
      <c r="I36" s="212">
        <v>74</v>
      </c>
      <c r="J36" s="58">
        <v>340</v>
      </c>
      <c r="K36" s="58">
        <v>490</v>
      </c>
      <c r="L36" s="58">
        <v>8</v>
      </c>
      <c r="M36" s="62">
        <v>14</v>
      </c>
      <c r="N36" s="58">
        <v>1</v>
      </c>
      <c r="O36" s="58">
        <v>0</v>
      </c>
      <c r="P36" s="23">
        <v>0</v>
      </c>
      <c r="Q36" s="24">
        <v>2</v>
      </c>
      <c r="R36" s="58">
        <v>0</v>
      </c>
      <c r="S36" s="58">
        <v>0</v>
      </c>
      <c r="T36" s="25">
        <v>9</v>
      </c>
      <c r="U36" s="25">
        <v>17</v>
      </c>
      <c r="V36" s="58">
        <v>4</v>
      </c>
      <c r="W36" s="58">
        <v>14</v>
      </c>
    </row>
    <row r="37" spans="1:23" ht="56.1" customHeight="1">
      <c r="A37" s="209" t="s">
        <v>209</v>
      </c>
      <c r="B37" s="210" t="s">
        <v>29</v>
      </c>
      <c r="C37" s="211" t="s">
        <v>194</v>
      </c>
      <c r="D37" s="58">
        <v>28</v>
      </c>
      <c r="E37" s="58">
        <v>8</v>
      </c>
      <c r="F37" s="58">
        <v>191</v>
      </c>
      <c r="G37" s="62">
        <v>60</v>
      </c>
      <c r="H37" s="212">
        <v>0</v>
      </c>
      <c r="I37" s="212">
        <v>0</v>
      </c>
      <c r="J37" s="58">
        <v>0</v>
      </c>
      <c r="K37" s="58">
        <v>0</v>
      </c>
      <c r="L37" s="58">
        <v>7</v>
      </c>
      <c r="M37" s="62">
        <v>3</v>
      </c>
      <c r="N37" s="58">
        <v>2</v>
      </c>
      <c r="O37" s="58">
        <v>0</v>
      </c>
      <c r="P37" s="23">
        <v>2</v>
      </c>
      <c r="Q37" s="24">
        <v>0</v>
      </c>
      <c r="R37" s="58">
        <v>1</v>
      </c>
      <c r="S37" s="58">
        <v>0</v>
      </c>
      <c r="T37" s="25">
        <v>0</v>
      </c>
      <c r="U37" s="25">
        <v>0</v>
      </c>
      <c r="V37" s="58">
        <v>0</v>
      </c>
      <c r="W37" s="58">
        <v>0</v>
      </c>
    </row>
    <row r="38" spans="1:23" ht="56.1" customHeight="1">
      <c r="A38" s="209" t="s">
        <v>209</v>
      </c>
      <c r="B38" s="210" t="s">
        <v>29</v>
      </c>
      <c r="C38" s="211" t="s">
        <v>195</v>
      </c>
      <c r="D38" s="58">
        <v>169</v>
      </c>
      <c r="E38" s="58">
        <v>49</v>
      </c>
      <c r="F38" s="58">
        <v>576</v>
      </c>
      <c r="G38" s="62">
        <v>197</v>
      </c>
      <c r="H38" s="212">
        <v>0</v>
      </c>
      <c r="I38" s="212">
        <v>0</v>
      </c>
      <c r="J38" s="220">
        <v>0</v>
      </c>
      <c r="K38" s="220">
        <v>0</v>
      </c>
      <c r="L38" s="58">
        <v>26</v>
      </c>
      <c r="M38" s="62">
        <v>16</v>
      </c>
      <c r="N38" s="58">
        <v>8</v>
      </c>
      <c r="O38" s="58">
        <v>0</v>
      </c>
      <c r="P38" s="26">
        <v>2</v>
      </c>
      <c r="Q38" s="27">
        <v>0</v>
      </c>
      <c r="R38" s="58">
        <v>0</v>
      </c>
      <c r="S38" s="58">
        <v>0</v>
      </c>
      <c r="T38" s="25">
        <v>0</v>
      </c>
      <c r="U38" s="25">
        <v>0</v>
      </c>
      <c r="V38" s="58">
        <v>0</v>
      </c>
      <c r="W38" s="58">
        <v>0</v>
      </c>
    </row>
    <row r="39" spans="1:23" ht="56.1" customHeight="1">
      <c r="A39" s="209" t="s">
        <v>209</v>
      </c>
      <c r="B39" s="210" t="s">
        <v>60</v>
      </c>
      <c r="C39" s="211" t="s">
        <v>639</v>
      </c>
      <c r="D39" s="58">
        <v>163</v>
      </c>
      <c r="E39" s="58">
        <v>249</v>
      </c>
      <c r="F39" s="58">
        <v>787</v>
      </c>
      <c r="G39" s="58">
        <v>1053</v>
      </c>
      <c r="H39" s="130">
        <v>56</v>
      </c>
      <c r="I39" s="130">
        <v>55</v>
      </c>
      <c r="J39" s="58">
        <v>635</v>
      </c>
      <c r="K39" s="58">
        <v>478</v>
      </c>
      <c r="L39" s="58">
        <v>19</v>
      </c>
      <c r="M39" s="62">
        <v>27</v>
      </c>
      <c r="N39" s="58">
        <v>0</v>
      </c>
      <c r="O39" s="58">
        <v>2</v>
      </c>
      <c r="P39" s="26">
        <v>0</v>
      </c>
      <c r="Q39" s="27">
        <v>0</v>
      </c>
      <c r="R39" s="58">
        <v>127</v>
      </c>
      <c r="S39" s="58">
        <v>153</v>
      </c>
      <c r="T39" s="25">
        <v>29</v>
      </c>
      <c r="U39" s="25">
        <v>25</v>
      </c>
      <c r="V39" s="58">
        <v>3</v>
      </c>
      <c r="W39" s="58">
        <v>11</v>
      </c>
    </row>
    <row r="40" spans="1:23" ht="56.1" customHeight="1">
      <c r="A40" s="216" t="s">
        <v>209</v>
      </c>
      <c r="B40" s="217" t="s">
        <v>60</v>
      </c>
      <c r="C40" s="218" t="s">
        <v>196</v>
      </c>
      <c r="D40" s="58">
        <v>19</v>
      </c>
      <c r="E40" s="58">
        <v>21</v>
      </c>
      <c r="F40" s="58">
        <v>19</v>
      </c>
      <c r="G40" s="58">
        <v>21</v>
      </c>
      <c r="H40" s="58">
        <v>0</v>
      </c>
      <c r="I40" s="58">
        <v>0</v>
      </c>
      <c r="J40" s="58">
        <v>0</v>
      </c>
      <c r="K40" s="62">
        <v>0</v>
      </c>
      <c r="L40" s="58">
        <v>0</v>
      </c>
      <c r="M40" s="62">
        <v>0</v>
      </c>
      <c r="N40" s="58">
        <v>1</v>
      </c>
      <c r="O40" s="58">
        <v>0</v>
      </c>
      <c r="P40" s="23" t="s">
        <v>186</v>
      </c>
      <c r="Q40" s="24" t="s">
        <v>186</v>
      </c>
      <c r="R40" s="58">
        <v>0</v>
      </c>
      <c r="S40" s="58">
        <v>0</v>
      </c>
      <c r="T40" s="25">
        <v>0</v>
      </c>
      <c r="U40" s="25">
        <v>0</v>
      </c>
      <c r="V40" s="58">
        <v>0</v>
      </c>
      <c r="W40" s="58">
        <v>0</v>
      </c>
    </row>
    <row r="41" spans="1:23" ht="56.1" customHeight="1">
      <c r="A41" s="209" t="s">
        <v>209</v>
      </c>
      <c r="B41" s="210" t="s">
        <v>60</v>
      </c>
      <c r="C41" s="211" t="s">
        <v>640</v>
      </c>
      <c r="D41" s="58">
        <v>60</v>
      </c>
      <c r="E41" s="58">
        <v>96</v>
      </c>
      <c r="F41" s="58">
        <v>239</v>
      </c>
      <c r="G41" s="58">
        <v>418</v>
      </c>
      <c r="H41" s="130">
        <v>21</v>
      </c>
      <c r="I41" s="130">
        <v>21</v>
      </c>
      <c r="J41" s="58">
        <v>162</v>
      </c>
      <c r="K41" s="58">
        <v>149</v>
      </c>
      <c r="L41" s="58">
        <v>4</v>
      </c>
      <c r="M41" s="62">
        <v>10</v>
      </c>
      <c r="N41" s="58">
        <v>4</v>
      </c>
      <c r="O41" s="58">
        <v>2</v>
      </c>
      <c r="P41" s="23">
        <v>1</v>
      </c>
      <c r="Q41" s="24">
        <v>1</v>
      </c>
      <c r="R41" s="58">
        <v>16</v>
      </c>
      <c r="S41" s="58">
        <v>25</v>
      </c>
      <c r="T41" s="25">
        <v>35</v>
      </c>
      <c r="U41" s="25">
        <v>58</v>
      </c>
      <c r="V41" s="58">
        <v>3</v>
      </c>
      <c r="W41" s="58">
        <v>3</v>
      </c>
    </row>
    <row r="42" spans="1:23" ht="56.1" customHeight="1">
      <c r="A42" s="209" t="s">
        <v>209</v>
      </c>
      <c r="B42" s="210" t="s">
        <v>60</v>
      </c>
      <c r="C42" s="211" t="s">
        <v>641</v>
      </c>
      <c r="D42" s="58">
        <v>59</v>
      </c>
      <c r="E42" s="58">
        <v>123</v>
      </c>
      <c r="F42" s="58">
        <v>258</v>
      </c>
      <c r="G42" s="58">
        <v>524</v>
      </c>
      <c r="H42" s="130">
        <v>64</v>
      </c>
      <c r="I42" s="130">
        <v>105</v>
      </c>
      <c r="J42" s="58">
        <v>423</v>
      </c>
      <c r="K42" s="58">
        <v>388</v>
      </c>
      <c r="L42" s="58">
        <v>12</v>
      </c>
      <c r="M42" s="62">
        <v>29</v>
      </c>
      <c r="N42" s="58">
        <v>3</v>
      </c>
      <c r="O42" s="58">
        <v>9</v>
      </c>
      <c r="P42" s="23">
        <v>0</v>
      </c>
      <c r="Q42" s="24">
        <v>0</v>
      </c>
      <c r="R42" s="58">
        <v>8</v>
      </c>
      <c r="S42" s="58">
        <v>13</v>
      </c>
      <c r="T42" s="25">
        <v>20</v>
      </c>
      <c r="U42" s="25">
        <v>59</v>
      </c>
      <c r="V42" s="58">
        <v>5</v>
      </c>
      <c r="W42" s="58">
        <v>10</v>
      </c>
    </row>
    <row r="43" spans="1:23" ht="56.1" customHeight="1">
      <c r="A43" s="209" t="s">
        <v>209</v>
      </c>
      <c r="B43" s="210" t="s">
        <v>60</v>
      </c>
      <c r="C43" s="211" t="s">
        <v>197</v>
      </c>
      <c r="D43" s="58">
        <v>63</v>
      </c>
      <c r="E43" s="58">
        <v>181</v>
      </c>
      <c r="F43" s="58">
        <v>175</v>
      </c>
      <c r="G43" s="62">
        <v>592</v>
      </c>
      <c r="H43" s="212">
        <v>19</v>
      </c>
      <c r="I43" s="212">
        <v>57</v>
      </c>
      <c r="J43" s="58">
        <v>160</v>
      </c>
      <c r="K43" s="58">
        <v>305</v>
      </c>
      <c r="L43" s="58">
        <v>15</v>
      </c>
      <c r="M43" s="62">
        <v>32</v>
      </c>
      <c r="N43" s="58">
        <v>1</v>
      </c>
      <c r="O43" s="58">
        <v>10</v>
      </c>
      <c r="P43" s="23">
        <v>0</v>
      </c>
      <c r="Q43" s="24">
        <v>0</v>
      </c>
      <c r="R43" s="58">
        <v>11</v>
      </c>
      <c r="S43" s="58">
        <v>57</v>
      </c>
      <c r="T43" s="25">
        <v>8</v>
      </c>
      <c r="U43" s="221">
        <v>45</v>
      </c>
      <c r="V43" s="58">
        <v>2</v>
      </c>
      <c r="W43" s="58">
        <v>11</v>
      </c>
    </row>
    <row r="44" spans="1:23" ht="56.1" customHeight="1">
      <c r="A44" s="209" t="s">
        <v>209</v>
      </c>
      <c r="B44" s="210" t="s">
        <v>199</v>
      </c>
      <c r="C44" s="211" t="s">
        <v>147</v>
      </c>
      <c r="D44" s="58">
        <v>75</v>
      </c>
      <c r="E44" s="58">
        <v>284</v>
      </c>
      <c r="F44" s="58">
        <v>235</v>
      </c>
      <c r="G44" s="62">
        <v>1057</v>
      </c>
      <c r="H44" s="212">
        <v>55</v>
      </c>
      <c r="I44" s="212">
        <v>126</v>
      </c>
      <c r="J44" s="58">
        <v>375</v>
      </c>
      <c r="K44" s="58">
        <v>696</v>
      </c>
      <c r="L44" s="58">
        <v>2</v>
      </c>
      <c r="M44" s="62">
        <v>9</v>
      </c>
      <c r="N44" s="58">
        <v>1</v>
      </c>
      <c r="O44" s="58">
        <v>2</v>
      </c>
      <c r="P44" s="23">
        <v>0</v>
      </c>
      <c r="Q44" s="24">
        <v>1</v>
      </c>
      <c r="R44" s="58">
        <v>16</v>
      </c>
      <c r="S44" s="58">
        <v>137</v>
      </c>
      <c r="T44" s="25">
        <v>29</v>
      </c>
      <c r="U44" s="221">
        <v>119</v>
      </c>
      <c r="V44" s="58">
        <v>2</v>
      </c>
      <c r="W44" s="58">
        <v>14</v>
      </c>
    </row>
    <row r="45" spans="1:23" ht="56.1" customHeight="1">
      <c r="A45" s="209" t="s">
        <v>209</v>
      </c>
      <c r="B45" s="210" t="s">
        <v>199</v>
      </c>
      <c r="C45" s="211" t="s">
        <v>198</v>
      </c>
      <c r="D45" s="58">
        <v>6</v>
      </c>
      <c r="E45" s="58">
        <v>191</v>
      </c>
      <c r="F45" s="58">
        <v>27</v>
      </c>
      <c r="G45" s="62">
        <v>780</v>
      </c>
      <c r="H45" s="212">
        <v>8</v>
      </c>
      <c r="I45" s="212">
        <v>135</v>
      </c>
      <c r="J45" s="58">
        <v>64</v>
      </c>
      <c r="K45" s="58">
        <v>579</v>
      </c>
      <c r="L45" s="58">
        <v>1</v>
      </c>
      <c r="M45" s="62">
        <v>17</v>
      </c>
      <c r="N45" s="58">
        <v>0</v>
      </c>
      <c r="O45" s="58">
        <v>4</v>
      </c>
      <c r="P45" s="23">
        <v>1</v>
      </c>
      <c r="Q45" s="24">
        <v>2</v>
      </c>
      <c r="R45" s="58">
        <v>1</v>
      </c>
      <c r="S45" s="58">
        <v>87</v>
      </c>
      <c r="T45" s="25">
        <v>1</v>
      </c>
      <c r="U45" s="221">
        <v>104</v>
      </c>
      <c r="V45" s="58">
        <v>1</v>
      </c>
      <c r="W45" s="58">
        <v>17</v>
      </c>
    </row>
    <row r="46" spans="1:23" ht="56.1" customHeight="1">
      <c r="A46" s="209" t="s">
        <v>209</v>
      </c>
      <c r="B46" s="210" t="s">
        <v>211</v>
      </c>
      <c r="C46" s="211" t="s">
        <v>200</v>
      </c>
      <c r="D46" s="58">
        <v>187</v>
      </c>
      <c r="E46" s="58">
        <v>119</v>
      </c>
      <c r="F46" s="58">
        <v>720</v>
      </c>
      <c r="G46" s="62">
        <v>546</v>
      </c>
      <c r="H46" s="212">
        <v>245</v>
      </c>
      <c r="I46" s="212">
        <v>157</v>
      </c>
      <c r="J46" s="58">
        <v>2283</v>
      </c>
      <c r="K46" s="58">
        <v>899</v>
      </c>
      <c r="L46" s="58">
        <v>18</v>
      </c>
      <c r="M46" s="62">
        <v>12</v>
      </c>
      <c r="N46" s="58">
        <v>16</v>
      </c>
      <c r="O46" s="58">
        <v>7</v>
      </c>
      <c r="P46" s="23">
        <v>6</v>
      </c>
      <c r="Q46" s="24">
        <v>1</v>
      </c>
      <c r="R46" s="58">
        <v>3</v>
      </c>
      <c r="S46" s="58">
        <v>12</v>
      </c>
      <c r="T46" s="25">
        <v>59</v>
      </c>
      <c r="U46" s="221">
        <v>65</v>
      </c>
      <c r="V46" s="58">
        <v>63</v>
      </c>
      <c r="W46" s="58">
        <v>33</v>
      </c>
    </row>
    <row r="47" spans="1:23" ht="56.1" customHeight="1">
      <c r="A47" s="209" t="s">
        <v>209</v>
      </c>
      <c r="B47" s="222" t="s">
        <v>202</v>
      </c>
      <c r="C47" s="211" t="s">
        <v>201</v>
      </c>
      <c r="D47" s="58">
        <v>35</v>
      </c>
      <c r="E47" s="58">
        <v>37</v>
      </c>
      <c r="F47" s="58">
        <v>126</v>
      </c>
      <c r="G47" s="62">
        <v>147</v>
      </c>
      <c r="H47" s="212">
        <v>0</v>
      </c>
      <c r="I47" s="212">
        <v>0</v>
      </c>
      <c r="J47" s="220">
        <v>0</v>
      </c>
      <c r="K47" s="220">
        <v>0</v>
      </c>
      <c r="L47" s="58">
        <v>6</v>
      </c>
      <c r="M47" s="62">
        <v>5</v>
      </c>
      <c r="N47" s="58">
        <v>1</v>
      </c>
      <c r="O47" s="58">
        <v>2</v>
      </c>
      <c r="P47" s="23">
        <v>1</v>
      </c>
      <c r="Q47" s="24">
        <v>0</v>
      </c>
      <c r="R47" s="58">
        <v>2</v>
      </c>
      <c r="S47" s="58">
        <v>0</v>
      </c>
      <c r="T47" s="25">
        <v>0</v>
      </c>
      <c r="U47" s="221">
        <v>0</v>
      </c>
      <c r="V47" s="58">
        <v>0</v>
      </c>
      <c r="W47" s="58">
        <v>0</v>
      </c>
    </row>
    <row r="48" spans="1:23" ht="56.1" customHeight="1">
      <c r="A48" s="209" t="s">
        <v>209</v>
      </c>
      <c r="B48" s="362" t="s">
        <v>203</v>
      </c>
      <c r="C48" s="223" t="s">
        <v>204</v>
      </c>
      <c r="D48" s="58">
        <v>0</v>
      </c>
      <c r="E48" s="58">
        <v>0</v>
      </c>
      <c r="F48" s="58">
        <v>0</v>
      </c>
      <c r="G48" s="62">
        <v>0</v>
      </c>
      <c r="H48" s="212">
        <v>192</v>
      </c>
      <c r="I48" s="212">
        <v>44</v>
      </c>
      <c r="J48" s="212">
        <v>2039</v>
      </c>
      <c r="K48" s="212">
        <v>193</v>
      </c>
      <c r="L48" s="212">
        <v>0</v>
      </c>
      <c r="M48" s="219">
        <v>0</v>
      </c>
      <c r="N48" s="212">
        <v>0</v>
      </c>
      <c r="O48" s="212">
        <v>0</v>
      </c>
      <c r="P48" s="23">
        <v>0</v>
      </c>
      <c r="Q48" s="23">
        <v>0</v>
      </c>
      <c r="R48" s="58">
        <v>0</v>
      </c>
      <c r="S48" s="58">
        <v>0</v>
      </c>
      <c r="T48" s="25">
        <v>39</v>
      </c>
      <c r="U48" s="221">
        <v>10</v>
      </c>
      <c r="V48" s="212">
        <v>109</v>
      </c>
      <c r="W48" s="212">
        <v>9</v>
      </c>
    </row>
    <row r="49" spans="1:23" ht="56.1" customHeight="1">
      <c r="A49" s="209" t="s">
        <v>209</v>
      </c>
      <c r="B49" s="363"/>
      <c r="C49" s="223" t="s">
        <v>205</v>
      </c>
      <c r="D49" s="58">
        <v>0</v>
      </c>
      <c r="E49" s="58">
        <v>0</v>
      </c>
      <c r="F49" s="58">
        <v>0</v>
      </c>
      <c r="G49" s="62">
        <v>0</v>
      </c>
      <c r="H49" s="212">
        <v>224</v>
      </c>
      <c r="I49" s="212">
        <v>32</v>
      </c>
      <c r="J49" s="212">
        <v>972</v>
      </c>
      <c r="K49" s="212">
        <v>168</v>
      </c>
      <c r="L49" s="212">
        <v>1</v>
      </c>
      <c r="M49" s="219">
        <v>0</v>
      </c>
      <c r="N49" s="212">
        <v>0</v>
      </c>
      <c r="O49" s="212">
        <v>0</v>
      </c>
      <c r="P49" s="23">
        <v>0</v>
      </c>
      <c r="Q49" s="23">
        <v>0</v>
      </c>
      <c r="R49" s="58">
        <v>0</v>
      </c>
      <c r="S49" s="58">
        <v>0</v>
      </c>
      <c r="T49" s="25">
        <v>7</v>
      </c>
      <c r="U49" s="221">
        <v>5</v>
      </c>
      <c r="V49" s="212">
        <v>75</v>
      </c>
      <c r="W49" s="212">
        <v>19</v>
      </c>
    </row>
    <row r="50" spans="1:23" ht="56.1" customHeight="1">
      <c r="A50" s="209" t="s">
        <v>209</v>
      </c>
      <c r="B50" s="363"/>
      <c r="C50" s="223" t="s">
        <v>206</v>
      </c>
      <c r="D50" s="58">
        <v>0</v>
      </c>
      <c r="E50" s="58">
        <v>0</v>
      </c>
      <c r="F50" s="58">
        <v>0</v>
      </c>
      <c r="G50" s="62">
        <v>0</v>
      </c>
      <c r="H50" s="212">
        <v>211</v>
      </c>
      <c r="I50" s="212">
        <v>28</v>
      </c>
      <c r="J50" s="212">
        <v>1037</v>
      </c>
      <c r="K50" s="212">
        <v>84</v>
      </c>
      <c r="L50" s="212">
        <v>1</v>
      </c>
      <c r="M50" s="219">
        <v>0</v>
      </c>
      <c r="N50" s="212">
        <v>2</v>
      </c>
      <c r="O50" s="212">
        <v>0</v>
      </c>
      <c r="P50" s="23">
        <v>0</v>
      </c>
      <c r="Q50" s="23">
        <v>0</v>
      </c>
      <c r="R50" s="58">
        <v>0</v>
      </c>
      <c r="S50" s="58">
        <v>0</v>
      </c>
      <c r="T50" s="172">
        <v>16</v>
      </c>
      <c r="U50" s="224">
        <v>8</v>
      </c>
      <c r="V50" s="225">
        <v>66</v>
      </c>
      <c r="W50" s="225">
        <v>4</v>
      </c>
    </row>
    <row r="51" spans="1:23" ht="56.1" customHeight="1">
      <c r="A51" s="209" t="s">
        <v>209</v>
      </c>
      <c r="B51" s="363"/>
      <c r="C51" s="223" t="s">
        <v>207</v>
      </c>
      <c r="D51" s="58">
        <v>0</v>
      </c>
      <c r="E51" s="58">
        <v>0</v>
      </c>
      <c r="F51" s="58">
        <v>0</v>
      </c>
      <c r="G51" s="62">
        <v>0</v>
      </c>
      <c r="H51" s="212">
        <v>125</v>
      </c>
      <c r="I51" s="212">
        <v>7</v>
      </c>
      <c r="J51" s="212">
        <v>494</v>
      </c>
      <c r="K51" s="212">
        <v>46</v>
      </c>
      <c r="L51" s="212">
        <v>0</v>
      </c>
      <c r="M51" s="219">
        <v>0</v>
      </c>
      <c r="N51" s="212">
        <v>0</v>
      </c>
      <c r="O51" s="212">
        <v>0</v>
      </c>
      <c r="P51" s="23">
        <v>0</v>
      </c>
      <c r="Q51" s="23">
        <v>0</v>
      </c>
      <c r="R51" s="58">
        <v>0</v>
      </c>
      <c r="S51" s="58">
        <v>0</v>
      </c>
      <c r="T51" s="25">
        <v>42</v>
      </c>
      <c r="U51" s="221">
        <v>13</v>
      </c>
      <c r="V51" s="212">
        <v>70</v>
      </c>
      <c r="W51" s="212">
        <v>6</v>
      </c>
    </row>
    <row r="52" spans="1:23" ht="56.1" customHeight="1">
      <c r="A52" s="209" t="s">
        <v>209</v>
      </c>
      <c r="B52" s="364"/>
      <c r="C52" s="223" t="s">
        <v>156</v>
      </c>
      <c r="D52" s="58">
        <v>0</v>
      </c>
      <c r="E52" s="58">
        <v>0</v>
      </c>
      <c r="F52" s="58">
        <v>0</v>
      </c>
      <c r="G52" s="62">
        <v>0</v>
      </c>
      <c r="H52" s="212">
        <v>240</v>
      </c>
      <c r="I52" s="212">
        <v>136</v>
      </c>
      <c r="J52" s="212">
        <v>765</v>
      </c>
      <c r="K52" s="212">
        <v>640</v>
      </c>
      <c r="L52" s="212">
        <v>0</v>
      </c>
      <c r="M52" s="219">
        <v>0</v>
      </c>
      <c r="N52" s="212">
        <v>3</v>
      </c>
      <c r="O52" s="212">
        <v>0</v>
      </c>
      <c r="P52" s="26">
        <v>0</v>
      </c>
      <c r="Q52" s="26">
        <v>0</v>
      </c>
      <c r="R52" s="58">
        <v>0</v>
      </c>
      <c r="S52" s="58">
        <v>0</v>
      </c>
      <c r="T52" s="25">
        <v>0</v>
      </c>
      <c r="U52" s="221">
        <v>5</v>
      </c>
      <c r="V52" s="212">
        <v>91</v>
      </c>
      <c r="W52" s="212">
        <v>92</v>
      </c>
    </row>
    <row r="53" spans="1:23" ht="24" customHeight="1">
      <c r="A53" s="226"/>
      <c r="B53" s="226"/>
      <c r="C53" s="227" t="s">
        <v>212</v>
      </c>
      <c r="D53" s="33">
        <f t="shared" ref="D53:W53" si="0">SUM(D4:D52)</f>
        <v>2980</v>
      </c>
      <c r="E53" s="33">
        <f t="shared" si="0"/>
        <v>4934</v>
      </c>
      <c r="F53" s="33">
        <f t="shared" si="0"/>
        <v>12247</v>
      </c>
      <c r="G53" s="33">
        <f t="shared" si="0"/>
        <v>20863</v>
      </c>
      <c r="H53" s="33">
        <f t="shared" si="0"/>
        <v>3854</v>
      </c>
      <c r="I53" s="33">
        <f t="shared" si="0"/>
        <v>4490</v>
      </c>
      <c r="J53" s="33">
        <f t="shared" si="0"/>
        <v>30127</v>
      </c>
      <c r="K53" s="33">
        <f t="shared" si="0"/>
        <v>29346</v>
      </c>
      <c r="L53" s="33">
        <f t="shared" si="0"/>
        <v>516</v>
      </c>
      <c r="M53" s="33">
        <f t="shared" si="0"/>
        <v>761</v>
      </c>
      <c r="N53" s="33">
        <f t="shared" si="0"/>
        <v>108</v>
      </c>
      <c r="O53" s="33">
        <f t="shared" si="0"/>
        <v>121</v>
      </c>
      <c r="P53" s="33">
        <f t="shared" si="0"/>
        <v>134</v>
      </c>
      <c r="Q53" s="33">
        <f t="shared" si="0"/>
        <v>93</v>
      </c>
      <c r="R53" s="33">
        <f t="shared" si="0"/>
        <v>437</v>
      </c>
      <c r="S53" s="33">
        <f t="shared" si="0"/>
        <v>1261</v>
      </c>
      <c r="T53" s="33">
        <f t="shared" si="0"/>
        <v>985</v>
      </c>
      <c r="U53" s="33">
        <f t="shared" si="0"/>
        <v>2074</v>
      </c>
      <c r="V53" s="33">
        <f t="shared" si="0"/>
        <v>991</v>
      </c>
      <c r="W53" s="33">
        <f t="shared" si="0"/>
        <v>938</v>
      </c>
    </row>
  </sheetData>
  <mergeCells count="12">
    <mergeCell ref="V2:W2"/>
    <mergeCell ref="B48:B52"/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dataValidations count="1">
    <dataValidation type="whole" allowBlank="1" showInputMessage="1" showErrorMessage="1" errorTitle="ΑΚΥΡΗ ΚΑΤΑΧΩΡΗΣΗ" error="ΠΡΕΠΕΙ ΝΑ ΕΙΣΑΓΕΤΕ ΑΚΕΡΑΙΟ ΜΗ ΑΡΝΗΤΙΚΟ ΑΡΙΘΜΟ" sqref="F32:G32 F34:G34 F4:G4 H4:I26 H28:I38 H43:I47 J4:K4 J34:K34 J32:K32">
      <formula1>0</formula1>
      <formula2>1000000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9"/>
  <sheetViews>
    <sheetView topLeftCell="B1" workbookViewId="0">
      <selection activeCell="X1" sqref="X1:X1048576"/>
    </sheetView>
  </sheetViews>
  <sheetFormatPr defaultRowHeight="15"/>
  <cols>
    <col min="1" max="1" width="33.85546875" bestFit="1" customWidth="1"/>
    <col min="2" max="2" width="41.140625" bestFit="1" customWidth="1"/>
    <col min="3" max="3" width="57.7109375" bestFit="1" customWidth="1"/>
    <col min="4" max="4" width="6.85546875" customWidth="1"/>
    <col min="5" max="5" width="5.7109375" bestFit="1" customWidth="1"/>
    <col min="6" max="6" width="6.85546875" customWidth="1"/>
    <col min="7" max="7" width="5.85546875" customWidth="1"/>
    <col min="8" max="8" width="6.85546875" customWidth="1"/>
    <col min="9" max="9" width="5.85546875" bestFit="1" customWidth="1"/>
    <col min="10" max="10" width="6.42578125" bestFit="1" customWidth="1"/>
    <col min="11" max="11" width="5.85546875" customWidth="1"/>
    <col min="12" max="12" width="6.140625" customWidth="1"/>
    <col min="13" max="13" width="8.140625" customWidth="1"/>
    <col min="14" max="14" width="6.42578125" customWidth="1"/>
    <col min="15" max="17" width="7.7109375" customWidth="1"/>
    <col min="18" max="18" width="7" customWidth="1"/>
    <col min="19" max="19" width="6.28515625" customWidth="1"/>
    <col min="20" max="20" width="6.85546875" customWidth="1"/>
    <col min="21" max="21" width="6.140625" customWidth="1"/>
    <col min="22" max="22" width="6.5703125" customWidth="1"/>
    <col min="23" max="23" width="5.7109375" customWidth="1"/>
  </cols>
  <sheetData>
    <row r="1" spans="1:23">
      <c r="A1" s="320" t="s">
        <v>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102" customHeight="1">
      <c r="A2" s="53" t="s">
        <v>0</v>
      </c>
      <c r="B2" s="53" t="s">
        <v>4</v>
      </c>
      <c r="C2" s="53" t="s">
        <v>1</v>
      </c>
      <c r="D2" s="366" t="s">
        <v>5</v>
      </c>
      <c r="E2" s="332"/>
      <c r="F2" s="367" t="s">
        <v>2</v>
      </c>
      <c r="G2" s="332"/>
      <c r="H2" s="366" t="s">
        <v>10</v>
      </c>
      <c r="I2" s="332"/>
      <c r="J2" s="366" t="s">
        <v>11</v>
      </c>
      <c r="K2" s="332"/>
      <c r="L2" s="366" t="s">
        <v>9</v>
      </c>
      <c r="M2" s="332"/>
      <c r="N2" s="366" t="s">
        <v>14</v>
      </c>
      <c r="O2" s="332"/>
      <c r="P2" s="366" t="s">
        <v>15</v>
      </c>
      <c r="Q2" s="332"/>
      <c r="R2" s="366" t="s">
        <v>3</v>
      </c>
      <c r="S2" s="332"/>
      <c r="T2" s="366" t="s">
        <v>12</v>
      </c>
      <c r="U2" s="332"/>
      <c r="V2" s="366" t="s">
        <v>13</v>
      </c>
      <c r="W2" s="332"/>
    </row>
    <row r="3" spans="1:23">
      <c r="A3" s="65"/>
      <c r="B3" s="65"/>
      <c r="C3" s="65"/>
      <c r="D3" s="65" t="s">
        <v>6</v>
      </c>
      <c r="E3" s="65" t="s">
        <v>7</v>
      </c>
      <c r="F3" s="65" t="s">
        <v>6</v>
      </c>
      <c r="G3" s="65" t="s">
        <v>7</v>
      </c>
      <c r="H3" s="65" t="s">
        <v>6</v>
      </c>
      <c r="I3" s="65" t="s">
        <v>7</v>
      </c>
      <c r="J3" s="65" t="s">
        <v>6</v>
      </c>
      <c r="K3" s="65" t="s">
        <v>7</v>
      </c>
      <c r="L3" s="65" t="s">
        <v>6</v>
      </c>
      <c r="M3" s="65" t="s">
        <v>7</v>
      </c>
      <c r="N3" s="65" t="s">
        <v>6</v>
      </c>
      <c r="O3" s="65" t="s">
        <v>7</v>
      </c>
      <c r="P3" s="65" t="s">
        <v>6</v>
      </c>
      <c r="Q3" s="65" t="s">
        <v>7</v>
      </c>
      <c r="R3" s="65" t="s">
        <v>6</v>
      </c>
      <c r="S3" s="65" t="s">
        <v>7</v>
      </c>
      <c r="T3" s="65" t="s">
        <v>6</v>
      </c>
      <c r="U3" s="65" t="s">
        <v>7</v>
      </c>
      <c r="V3" s="65" t="s">
        <v>6</v>
      </c>
      <c r="W3" s="65" t="s">
        <v>7</v>
      </c>
    </row>
    <row r="4" spans="1:23">
      <c r="A4" s="134" t="s">
        <v>213</v>
      </c>
      <c r="B4" s="134" t="s">
        <v>214</v>
      </c>
      <c r="C4" s="134" t="s">
        <v>215</v>
      </c>
      <c r="D4" s="134">
        <v>54</v>
      </c>
      <c r="E4" s="134">
        <v>68</v>
      </c>
      <c r="F4" s="134">
        <v>259</v>
      </c>
      <c r="G4" s="134">
        <v>345</v>
      </c>
      <c r="H4" s="134">
        <v>134</v>
      </c>
      <c r="I4" s="134">
        <v>141</v>
      </c>
      <c r="J4" s="134">
        <v>543</v>
      </c>
      <c r="K4" s="134">
        <v>386</v>
      </c>
      <c r="L4" s="134">
        <v>7</v>
      </c>
      <c r="M4" s="134">
        <v>11</v>
      </c>
      <c r="N4" s="136">
        <v>3</v>
      </c>
      <c r="O4" s="136">
        <v>1</v>
      </c>
      <c r="P4" s="136">
        <v>0</v>
      </c>
      <c r="Q4" s="136">
        <v>0</v>
      </c>
      <c r="R4" s="134">
        <v>1</v>
      </c>
      <c r="S4" s="134">
        <v>1</v>
      </c>
      <c r="T4" s="134">
        <v>21</v>
      </c>
      <c r="U4" s="134">
        <v>28</v>
      </c>
      <c r="V4" s="134">
        <v>31</v>
      </c>
      <c r="W4" s="134">
        <v>37</v>
      </c>
    </row>
    <row r="5" spans="1:23">
      <c r="A5" s="134" t="s">
        <v>213</v>
      </c>
      <c r="B5" s="134" t="s">
        <v>216</v>
      </c>
      <c r="C5" s="134" t="s">
        <v>217</v>
      </c>
      <c r="D5" s="134">
        <v>108</v>
      </c>
      <c r="E5" s="134">
        <v>110</v>
      </c>
      <c r="F5" s="134">
        <v>506</v>
      </c>
      <c r="G5" s="134">
        <v>432</v>
      </c>
      <c r="H5" s="134">
        <v>250</v>
      </c>
      <c r="I5" s="134">
        <v>222</v>
      </c>
      <c r="J5" s="134">
        <v>735</v>
      </c>
      <c r="K5" s="134">
        <v>784</v>
      </c>
      <c r="L5" s="134">
        <v>11</v>
      </c>
      <c r="M5" s="134">
        <v>20</v>
      </c>
      <c r="N5" s="136">
        <v>3</v>
      </c>
      <c r="O5" s="136">
        <v>0</v>
      </c>
      <c r="P5" s="136">
        <v>0</v>
      </c>
      <c r="Q5" s="136">
        <v>0</v>
      </c>
      <c r="R5" s="134">
        <v>0</v>
      </c>
      <c r="S5" s="134">
        <v>1</v>
      </c>
      <c r="T5" s="134">
        <v>18</v>
      </c>
      <c r="U5" s="134">
        <v>30</v>
      </c>
      <c r="V5" s="134">
        <v>41</v>
      </c>
      <c r="W5" s="134">
        <v>57</v>
      </c>
    </row>
    <row r="6" spans="1:23">
      <c r="A6" s="134" t="s">
        <v>213</v>
      </c>
      <c r="B6" s="134" t="s">
        <v>216</v>
      </c>
      <c r="C6" s="134" t="s">
        <v>218</v>
      </c>
      <c r="D6" s="134">
        <v>30</v>
      </c>
      <c r="E6" s="134">
        <v>25</v>
      </c>
      <c r="F6" s="134">
        <v>266</v>
      </c>
      <c r="G6" s="134">
        <v>174</v>
      </c>
      <c r="H6" s="134">
        <v>184</v>
      </c>
      <c r="I6" s="134">
        <v>165</v>
      </c>
      <c r="J6" s="134">
        <v>205</v>
      </c>
      <c r="K6" s="134">
        <v>162</v>
      </c>
      <c r="L6" s="134">
        <v>10</v>
      </c>
      <c r="M6" s="134">
        <v>8</v>
      </c>
      <c r="N6" s="136">
        <v>3</v>
      </c>
      <c r="O6" s="136">
        <v>0</v>
      </c>
      <c r="P6" s="136">
        <v>0</v>
      </c>
      <c r="Q6" s="136">
        <v>0</v>
      </c>
      <c r="R6" s="134">
        <v>2</v>
      </c>
      <c r="S6" s="134">
        <v>0</v>
      </c>
      <c r="T6" s="134">
        <v>12</v>
      </c>
      <c r="U6" s="134">
        <v>22</v>
      </c>
      <c r="V6" s="134">
        <v>9</v>
      </c>
      <c r="W6" s="134">
        <v>19</v>
      </c>
    </row>
    <row r="7" spans="1:23">
      <c r="A7" s="134" t="s">
        <v>213</v>
      </c>
      <c r="B7" s="134" t="s">
        <v>216</v>
      </c>
      <c r="C7" s="134" t="s">
        <v>219</v>
      </c>
      <c r="D7" s="134">
        <v>98</v>
      </c>
      <c r="E7" s="134">
        <v>103</v>
      </c>
      <c r="F7" s="134">
        <v>403</v>
      </c>
      <c r="G7" s="134">
        <v>387</v>
      </c>
      <c r="H7" s="134">
        <v>185</v>
      </c>
      <c r="I7" s="134">
        <v>160</v>
      </c>
      <c r="J7" s="134">
        <v>1267</v>
      </c>
      <c r="K7" s="134">
        <v>1220</v>
      </c>
      <c r="L7" s="134">
        <v>16</v>
      </c>
      <c r="M7" s="134">
        <v>17</v>
      </c>
      <c r="N7" s="136">
        <v>4</v>
      </c>
      <c r="O7" s="136">
        <v>3</v>
      </c>
      <c r="P7" s="136">
        <v>0</v>
      </c>
      <c r="Q7" s="136">
        <v>1</v>
      </c>
      <c r="R7" s="134">
        <v>0</v>
      </c>
      <c r="S7" s="134">
        <v>0</v>
      </c>
      <c r="T7" s="134">
        <v>12</v>
      </c>
      <c r="U7" s="134">
        <v>29</v>
      </c>
      <c r="V7" s="134">
        <v>48</v>
      </c>
      <c r="W7" s="134">
        <v>55</v>
      </c>
    </row>
    <row r="8" spans="1:23">
      <c r="A8" s="134" t="s">
        <v>213</v>
      </c>
      <c r="B8" s="134" t="s">
        <v>220</v>
      </c>
      <c r="C8" s="134" t="s">
        <v>221</v>
      </c>
      <c r="D8" s="134">
        <v>29</v>
      </c>
      <c r="E8" s="134">
        <v>155</v>
      </c>
      <c r="F8" s="134">
        <v>57</v>
      </c>
      <c r="G8" s="134">
        <v>449</v>
      </c>
      <c r="H8" s="134">
        <v>27</v>
      </c>
      <c r="I8" s="134">
        <v>130</v>
      </c>
      <c r="J8" s="134">
        <v>74</v>
      </c>
      <c r="K8" s="134">
        <v>297</v>
      </c>
      <c r="L8" s="134">
        <v>18</v>
      </c>
      <c r="M8" s="134">
        <v>34</v>
      </c>
      <c r="N8" s="136">
        <v>1</v>
      </c>
      <c r="O8" s="136">
        <v>1</v>
      </c>
      <c r="P8" s="136">
        <v>0</v>
      </c>
      <c r="Q8" s="136">
        <v>0</v>
      </c>
      <c r="R8" s="134">
        <v>1</v>
      </c>
      <c r="S8" s="134">
        <v>9</v>
      </c>
      <c r="T8" s="134">
        <v>9</v>
      </c>
      <c r="U8" s="134">
        <v>55</v>
      </c>
      <c r="V8" s="134">
        <v>6</v>
      </c>
      <c r="W8" s="134">
        <v>64</v>
      </c>
    </row>
    <row r="9" spans="1:23">
      <c r="A9" s="134" t="s">
        <v>213</v>
      </c>
      <c r="B9" s="134" t="s">
        <v>220</v>
      </c>
      <c r="C9" s="134" t="s">
        <v>222</v>
      </c>
      <c r="D9" s="134">
        <v>26</v>
      </c>
      <c r="E9" s="134">
        <v>155</v>
      </c>
      <c r="F9" s="134">
        <v>83</v>
      </c>
      <c r="G9" s="134">
        <v>407</v>
      </c>
      <c r="H9" s="134">
        <v>23</v>
      </c>
      <c r="I9" s="134">
        <v>110</v>
      </c>
      <c r="J9" s="134">
        <v>35</v>
      </c>
      <c r="K9" s="134">
        <v>137</v>
      </c>
      <c r="L9" s="134">
        <v>6</v>
      </c>
      <c r="M9" s="134">
        <v>56</v>
      </c>
      <c r="N9" s="136">
        <v>1</v>
      </c>
      <c r="O9" s="136">
        <v>5</v>
      </c>
      <c r="P9" s="136">
        <v>0</v>
      </c>
      <c r="Q9" s="136">
        <v>0</v>
      </c>
      <c r="R9" s="134">
        <v>11</v>
      </c>
      <c r="S9" s="134">
        <v>50</v>
      </c>
      <c r="T9" s="134">
        <v>22</v>
      </c>
      <c r="U9" s="134">
        <v>72</v>
      </c>
      <c r="V9" s="134">
        <v>12</v>
      </c>
      <c r="W9" s="134">
        <v>30</v>
      </c>
    </row>
    <row r="10" spans="1:23">
      <c r="A10" s="134" t="s">
        <v>213</v>
      </c>
      <c r="B10" s="134" t="s">
        <v>220</v>
      </c>
      <c r="C10" s="134" t="s">
        <v>223</v>
      </c>
      <c r="D10" s="134">
        <v>31</v>
      </c>
      <c r="E10" s="134">
        <v>119</v>
      </c>
      <c r="F10" s="134">
        <v>91</v>
      </c>
      <c r="G10" s="134">
        <v>273</v>
      </c>
      <c r="H10" s="134">
        <v>27</v>
      </c>
      <c r="I10" s="134">
        <v>106</v>
      </c>
      <c r="J10" s="134">
        <v>133</v>
      </c>
      <c r="K10" s="134">
        <v>409</v>
      </c>
      <c r="L10" s="134">
        <v>16</v>
      </c>
      <c r="M10" s="134">
        <v>50</v>
      </c>
      <c r="N10" s="136">
        <v>2</v>
      </c>
      <c r="O10" s="136">
        <v>0</v>
      </c>
      <c r="P10" s="136">
        <v>0</v>
      </c>
      <c r="Q10" s="136">
        <v>0</v>
      </c>
      <c r="R10" s="134">
        <v>0</v>
      </c>
      <c r="S10" s="134">
        <v>1</v>
      </c>
      <c r="T10" s="134">
        <v>6</v>
      </c>
      <c r="U10" s="134">
        <v>27</v>
      </c>
      <c r="V10" s="134">
        <v>8</v>
      </c>
      <c r="W10" s="134">
        <v>12</v>
      </c>
    </row>
    <row r="11" spans="1:23">
      <c r="A11" s="134" t="s">
        <v>213</v>
      </c>
      <c r="B11" s="134" t="s">
        <v>224</v>
      </c>
      <c r="C11" s="134" t="s">
        <v>225</v>
      </c>
      <c r="D11" s="134">
        <v>103</v>
      </c>
      <c r="E11" s="134">
        <v>8</v>
      </c>
      <c r="F11" s="134">
        <v>434</v>
      </c>
      <c r="G11" s="134">
        <v>50</v>
      </c>
      <c r="H11" s="134">
        <v>439</v>
      </c>
      <c r="I11" s="134">
        <v>79</v>
      </c>
      <c r="J11" s="134">
        <v>1637</v>
      </c>
      <c r="K11" s="134">
        <v>313</v>
      </c>
      <c r="L11" s="134">
        <v>53</v>
      </c>
      <c r="M11" s="134">
        <v>7</v>
      </c>
      <c r="N11" s="136">
        <v>9</v>
      </c>
      <c r="O11" s="136">
        <v>1</v>
      </c>
      <c r="P11" s="136">
        <v>1</v>
      </c>
      <c r="Q11" s="136">
        <v>0</v>
      </c>
      <c r="R11" s="134">
        <v>2</v>
      </c>
      <c r="S11" s="134">
        <v>0</v>
      </c>
      <c r="T11" s="134">
        <v>20</v>
      </c>
      <c r="U11" s="134">
        <v>11</v>
      </c>
      <c r="V11" s="134">
        <v>71</v>
      </c>
      <c r="W11" s="134">
        <v>16</v>
      </c>
    </row>
    <row r="12" spans="1:23">
      <c r="A12" s="134" t="s">
        <v>213</v>
      </c>
      <c r="B12" s="134" t="s">
        <v>224</v>
      </c>
      <c r="C12" s="134" t="s">
        <v>226</v>
      </c>
      <c r="D12" s="134">
        <v>92</v>
      </c>
      <c r="E12" s="134">
        <v>21</v>
      </c>
      <c r="F12" s="134">
        <v>277</v>
      </c>
      <c r="G12" s="134">
        <v>64</v>
      </c>
      <c r="H12" s="134">
        <v>181</v>
      </c>
      <c r="I12" s="134">
        <v>48</v>
      </c>
      <c r="J12" s="134">
        <v>849</v>
      </c>
      <c r="K12" s="134">
        <v>106</v>
      </c>
      <c r="L12" s="134">
        <v>24</v>
      </c>
      <c r="M12" s="134">
        <v>6</v>
      </c>
      <c r="N12" s="136">
        <v>9</v>
      </c>
      <c r="O12" s="136">
        <v>0</v>
      </c>
      <c r="P12" s="136">
        <v>2</v>
      </c>
      <c r="Q12" s="136">
        <v>0</v>
      </c>
      <c r="R12" s="134">
        <v>2</v>
      </c>
      <c r="S12" s="134">
        <v>0</v>
      </c>
      <c r="T12" s="134">
        <v>7</v>
      </c>
      <c r="U12" s="134">
        <v>4</v>
      </c>
      <c r="V12" s="134">
        <v>56</v>
      </c>
      <c r="W12" s="134">
        <v>7</v>
      </c>
    </row>
    <row r="13" spans="1:23">
      <c r="A13" s="134" t="s">
        <v>213</v>
      </c>
      <c r="B13" s="134" t="s">
        <v>224</v>
      </c>
      <c r="C13" s="134" t="s">
        <v>227</v>
      </c>
      <c r="D13" s="134">
        <v>146</v>
      </c>
      <c r="E13" s="134">
        <v>28</v>
      </c>
      <c r="F13" s="134">
        <v>487</v>
      </c>
      <c r="G13" s="134">
        <v>81</v>
      </c>
      <c r="H13" s="134">
        <v>271</v>
      </c>
      <c r="I13" s="134">
        <v>85</v>
      </c>
      <c r="J13" s="134">
        <v>1003</v>
      </c>
      <c r="K13" s="134">
        <v>251</v>
      </c>
      <c r="L13" s="134">
        <v>46</v>
      </c>
      <c r="M13" s="134">
        <v>17</v>
      </c>
      <c r="N13" s="136">
        <v>8</v>
      </c>
      <c r="O13" s="136">
        <v>1</v>
      </c>
      <c r="P13" s="136">
        <v>0</v>
      </c>
      <c r="Q13" s="136">
        <v>0</v>
      </c>
      <c r="R13" s="134">
        <v>2</v>
      </c>
      <c r="S13" s="134">
        <v>0</v>
      </c>
      <c r="T13" s="134">
        <v>6</v>
      </c>
      <c r="U13" s="134">
        <v>11</v>
      </c>
      <c r="V13" s="134">
        <v>49</v>
      </c>
      <c r="W13" s="134">
        <v>30</v>
      </c>
    </row>
    <row r="14" spans="1:23">
      <c r="A14" s="134" t="s">
        <v>213</v>
      </c>
      <c r="B14" s="134" t="s">
        <v>228</v>
      </c>
      <c r="C14" s="134" t="s">
        <v>229</v>
      </c>
      <c r="D14" s="134">
        <v>39</v>
      </c>
      <c r="E14" s="134">
        <v>9</v>
      </c>
      <c r="F14" s="134">
        <v>262</v>
      </c>
      <c r="G14" s="134">
        <v>73</v>
      </c>
      <c r="H14" s="134">
        <v>148</v>
      </c>
      <c r="I14" s="134">
        <v>47</v>
      </c>
      <c r="J14" s="134">
        <v>862</v>
      </c>
      <c r="K14" s="134">
        <v>233</v>
      </c>
      <c r="L14" s="134">
        <v>15</v>
      </c>
      <c r="M14" s="134">
        <v>6</v>
      </c>
      <c r="N14" s="136">
        <v>33</v>
      </c>
      <c r="O14" s="136">
        <v>6</v>
      </c>
      <c r="P14" s="136">
        <v>0</v>
      </c>
      <c r="Q14" s="136">
        <v>0</v>
      </c>
      <c r="R14" s="134">
        <v>0</v>
      </c>
      <c r="S14" s="134">
        <v>0</v>
      </c>
      <c r="T14" s="134">
        <v>3</v>
      </c>
      <c r="U14" s="134">
        <v>1</v>
      </c>
      <c r="V14" s="134">
        <v>16</v>
      </c>
      <c r="W14" s="134">
        <v>4</v>
      </c>
    </row>
    <row r="15" spans="1:23">
      <c r="A15" s="134"/>
      <c r="B15" s="134"/>
      <c r="C15" s="134" t="s">
        <v>126</v>
      </c>
      <c r="D15" s="134">
        <f>SUM(D4:D14)</f>
        <v>756</v>
      </c>
      <c r="E15" s="134">
        <f t="shared" ref="E15:W15" si="0">SUM(E4:E14)</f>
        <v>801</v>
      </c>
      <c r="F15" s="134">
        <f t="shared" si="0"/>
        <v>3125</v>
      </c>
      <c r="G15" s="134">
        <f t="shared" si="0"/>
        <v>2735</v>
      </c>
      <c r="H15" s="134">
        <f t="shared" si="0"/>
        <v>1869</v>
      </c>
      <c r="I15" s="134">
        <f t="shared" si="0"/>
        <v>1293</v>
      </c>
      <c r="J15" s="134">
        <f t="shared" si="0"/>
        <v>7343</v>
      </c>
      <c r="K15" s="134">
        <f t="shared" si="0"/>
        <v>4298</v>
      </c>
      <c r="L15" s="134">
        <f t="shared" si="0"/>
        <v>222</v>
      </c>
      <c r="M15" s="134">
        <f t="shared" si="0"/>
        <v>232</v>
      </c>
      <c r="N15" s="134">
        <f t="shared" si="0"/>
        <v>76</v>
      </c>
      <c r="O15" s="134">
        <f t="shared" si="0"/>
        <v>18</v>
      </c>
      <c r="P15" s="134">
        <f t="shared" si="0"/>
        <v>3</v>
      </c>
      <c r="Q15" s="134">
        <f t="shared" si="0"/>
        <v>1</v>
      </c>
      <c r="R15" s="134">
        <f t="shared" si="0"/>
        <v>21</v>
      </c>
      <c r="S15" s="134">
        <f t="shared" si="0"/>
        <v>62</v>
      </c>
      <c r="T15" s="134">
        <f t="shared" si="0"/>
        <v>136</v>
      </c>
      <c r="U15" s="134">
        <f t="shared" si="0"/>
        <v>290</v>
      </c>
      <c r="V15" s="134">
        <f t="shared" si="0"/>
        <v>347</v>
      </c>
      <c r="W15" s="134">
        <f t="shared" si="0"/>
        <v>331</v>
      </c>
    </row>
    <row r="16" spans="1:23">
      <c r="M16" s="4"/>
      <c r="N16" s="4"/>
      <c r="O16" s="4"/>
      <c r="P16" s="4"/>
      <c r="Q16" s="4"/>
    </row>
    <row r="17" spans="13:17">
      <c r="M17" s="4"/>
      <c r="N17" s="4"/>
      <c r="O17" s="4"/>
      <c r="P17" s="4"/>
      <c r="Q17" s="4"/>
    </row>
    <row r="18" spans="13:17">
      <c r="M18" s="4"/>
      <c r="N18" s="4"/>
      <c r="O18" s="4"/>
      <c r="P18" s="4"/>
      <c r="Q18" s="4"/>
    </row>
    <row r="19" spans="13:17">
      <c r="M19" s="4"/>
      <c r="N19" s="4"/>
      <c r="O19" s="4"/>
      <c r="P19" s="4"/>
      <c r="Q19" s="4"/>
    </row>
  </sheetData>
  <mergeCells count="11">
    <mergeCell ref="V2:W2"/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ageMargins left="0.7" right="0.7" top="0.75" bottom="0.75" header="0.3" footer="0.3"/>
  <pageSetup paperSize="9" scale="5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"/>
  <sheetViews>
    <sheetView workbookViewId="0">
      <selection activeCell="V1" sqref="V1:V1048576"/>
    </sheetView>
  </sheetViews>
  <sheetFormatPr defaultColWidth="9.140625" defaultRowHeight="15"/>
  <cols>
    <col min="1" max="1" width="36.7109375" customWidth="1"/>
    <col min="2" max="21" width="5.85546875" customWidth="1"/>
  </cols>
  <sheetData>
    <row r="1" spans="1:21" ht="21">
      <c r="A1" s="371" t="s">
        <v>239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</row>
    <row r="2" spans="1:21" ht="87.75" customHeight="1">
      <c r="A2" s="372" t="s">
        <v>240</v>
      </c>
      <c r="B2" s="368" t="s">
        <v>5</v>
      </c>
      <c r="C2" s="369"/>
      <c r="D2" s="373" t="s">
        <v>2</v>
      </c>
      <c r="E2" s="374"/>
      <c r="F2" s="368" t="s">
        <v>10</v>
      </c>
      <c r="G2" s="369"/>
      <c r="H2" s="375" t="s">
        <v>11</v>
      </c>
      <c r="I2" s="369"/>
      <c r="J2" s="375" t="s">
        <v>9</v>
      </c>
      <c r="K2" s="375"/>
      <c r="L2" s="375" t="s">
        <v>14</v>
      </c>
      <c r="M2" s="375"/>
      <c r="N2" s="375" t="s">
        <v>15</v>
      </c>
      <c r="O2" s="375"/>
      <c r="P2" s="368" t="s">
        <v>3</v>
      </c>
      <c r="Q2" s="369"/>
      <c r="R2" s="368" t="s">
        <v>12</v>
      </c>
      <c r="S2" s="369"/>
      <c r="T2" s="368" t="s">
        <v>13</v>
      </c>
      <c r="U2" s="370"/>
    </row>
    <row r="3" spans="1:21">
      <c r="A3" s="372"/>
      <c r="B3" s="77" t="s">
        <v>6</v>
      </c>
      <c r="C3" s="77" t="s">
        <v>7</v>
      </c>
      <c r="D3" s="77" t="s">
        <v>6</v>
      </c>
      <c r="E3" s="77" t="s">
        <v>7</v>
      </c>
      <c r="F3" s="77" t="s">
        <v>6</v>
      </c>
      <c r="G3" s="77" t="s">
        <v>7</v>
      </c>
      <c r="H3" s="77" t="s">
        <v>6</v>
      </c>
      <c r="I3" s="77" t="s">
        <v>7</v>
      </c>
      <c r="J3" s="77" t="s">
        <v>6</v>
      </c>
      <c r="K3" s="77" t="s">
        <v>7</v>
      </c>
      <c r="L3" s="77" t="s">
        <v>6</v>
      </c>
      <c r="M3" s="77" t="s">
        <v>7</v>
      </c>
      <c r="N3" s="77" t="s">
        <v>6</v>
      </c>
      <c r="O3" s="77" t="s">
        <v>7</v>
      </c>
      <c r="P3" s="77" t="s">
        <v>6</v>
      </c>
      <c r="Q3" s="77" t="s">
        <v>7</v>
      </c>
      <c r="R3" s="77" t="s">
        <v>6</v>
      </c>
      <c r="S3" s="77" t="s">
        <v>7</v>
      </c>
      <c r="T3" s="77" t="s">
        <v>6</v>
      </c>
      <c r="U3" s="77" t="s">
        <v>7</v>
      </c>
    </row>
    <row r="4" spans="1:21" ht="24" customHeight="1">
      <c r="A4" s="165" t="s">
        <v>230</v>
      </c>
      <c r="B4" s="6">
        <v>115</v>
      </c>
      <c r="C4" s="5">
        <v>85</v>
      </c>
      <c r="D4" s="5">
        <v>640</v>
      </c>
      <c r="E4" s="5">
        <v>377</v>
      </c>
      <c r="F4" s="5">
        <v>247</v>
      </c>
      <c r="G4" s="5">
        <v>99</v>
      </c>
      <c r="H4" s="5">
        <v>923</v>
      </c>
      <c r="I4" s="5">
        <v>330</v>
      </c>
      <c r="J4" s="5">
        <v>5</v>
      </c>
      <c r="K4" s="5">
        <v>8</v>
      </c>
      <c r="L4" s="5">
        <v>0</v>
      </c>
      <c r="M4" s="5">
        <v>1</v>
      </c>
      <c r="N4" s="5">
        <v>3</v>
      </c>
      <c r="O4" s="5">
        <v>1</v>
      </c>
      <c r="P4" s="5">
        <v>7</v>
      </c>
      <c r="Q4" s="5">
        <v>4</v>
      </c>
      <c r="R4" s="5">
        <v>68</v>
      </c>
      <c r="S4" s="5">
        <v>47</v>
      </c>
      <c r="T4" s="5">
        <v>26</v>
      </c>
      <c r="U4" s="5">
        <v>21</v>
      </c>
    </row>
    <row r="5" spans="1:21" ht="28.5" customHeight="1">
      <c r="A5" s="165" t="s">
        <v>231</v>
      </c>
      <c r="B5" s="5">
        <v>157</v>
      </c>
      <c r="C5" s="5">
        <v>49</v>
      </c>
      <c r="D5" s="5">
        <v>915</v>
      </c>
      <c r="E5" s="5">
        <v>219</v>
      </c>
      <c r="F5" s="5">
        <v>232</v>
      </c>
      <c r="G5" s="5">
        <v>52</v>
      </c>
      <c r="H5" s="5">
        <v>2400</v>
      </c>
      <c r="I5" s="5">
        <v>122</v>
      </c>
      <c r="J5" s="5">
        <v>0</v>
      </c>
      <c r="K5" s="5">
        <v>0</v>
      </c>
      <c r="L5" s="5">
        <v>36</v>
      </c>
      <c r="M5" s="5">
        <v>10</v>
      </c>
      <c r="N5" s="5">
        <v>5</v>
      </c>
      <c r="O5" s="5">
        <v>0</v>
      </c>
      <c r="P5" s="5">
        <v>16</v>
      </c>
      <c r="Q5" s="5">
        <v>2</v>
      </c>
      <c r="R5" s="5">
        <v>92</v>
      </c>
      <c r="S5" s="5">
        <v>15</v>
      </c>
      <c r="T5" s="5">
        <v>28</v>
      </c>
      <c r="U5" s="5">
        <v>5</v>
      </c>
    </row>
    <row r="6" spans="1:21" ht="30">
      <c r="A6" s="165" t="s">
        <v>232</v>
      </c>
      <c r="B6" s="5">
        <v>300</v>
      </c>
      <c r="C6" s="5">
        <v>110</v>
      </c>
      <c r="D6" s="5">
        <v>1647</v>
      </c>
      <c r="E6" s="5">
        <v>489</v>
      </c>
      <c r="F6" s="5">
        <v>511</v>
      </c>
      <c r="G6" s="5">
        <v>85</v>
      </c>
      <c r="H6" s="5">
        <v>2086</v>
      </c>
      <c r="I6" s="5">
        <v>265</v>
      </c>
      <c r="J6" s="5">
        <v>2</v>
      </c>
      <c r="K6" s="5">
        <v>3</v>
      </c>
      <c r="L6" s="5">
        <v>0</v>
      </c>
      <c r="M6" s="5">
        <v>0</v>
      </c>
      <c r="N6" s="5">
        <v>0</v>
      </c>
      <c r="O6" s="5">
        <v>0</v>
      </c>
      <c r="P6" s="5">
        <v>16</v>
      </c>
      <c r="Q6" s="5">
        <v>5</v>
      </c>
      <c r="R6" s="5">
        <v>154</v>
      </c>
      <c r="S6" s="5">
        <v>45</v>
      </c>
      <c r="T6" s="5">
        <v>51</v>
      </c>
      <c r="U6" s="5">
        <v>14</v>
      </c>
    </row>
    <row r="7" spans="1:21" ht="21.75" customHeight="1">
      <c r="A7" s="165" t="s">
        <v>233</v>
      </c>
      <c r="B7" s="5">
        <v>32</v>
      </c>
      <c r="C7" s="5">
        <v>111</v>
      </c>
      <c r="D7" s="5">
        <v>229</v>
      </c>
      <c r="E7" s="5">
        <v>667</v>
      </c>
      <c r="F7" s="5">
        <v>109</v>
      </c>
      <c r="G7" s="5">
        <v>206</v>
      </c>
      <c r="H7" s="5">
        <v>303</v>
      </c>
      <c r="I7" s="5">
        <v>285</v>
      </c>
      <c r="J7" s="5">
        <v>1</v>
      </c>
      <c r="K7" s="5">
        <v>0</v>
      </c>
      <c r="L7" s="5">
        <v>1</v>
      </c>
      <c r="M7" s="5">
        <v>7</v>
      </c>
      <c r="N7" s="5">
        <v>0</v>
      </c>
      <c r="O7" s="5">
        <v>0</v>
      </c>
      <c r="P7" s="5">
        <v>0</v>
      </c>
      <c r="Q7" s="5">
        <v>1</v>
      </c>
      <c r="R7" s="5">
        <v>33</v>
      </c>
      <c r="S7" s="5">
        <v>103</v>
      </c>
      <c r="T7" s="5">
        <v>14</v>
      </c>
      <c r="U7" s="5">
        <v>29</v>
      </c>
    </row>
    <row r="8" spans="1:21" ht="26.25" customHeight="1">
      <c r="A8" s="165" t="s">
        <v>234</v>
      </c>
      <c r="B8" s="5">
        <v>80</v>
      </c>
      <c r="C8" s="5">
        <v>96</v>
      </c>
      <c r="D8" s="5">
        <v>410</v>
      </c>
      <c r="E8" s="5">
        <v>470</v>
      </c>
      <c r="F8" s="5">
        <v>101</v>
      </c>
      <c r="G8" s="5">
        <v>49</v>
      </c>
      <c r="H8" s="5">
        <v>567</v>
      </c>
      <c r="I8" s="5">
        <v>216</v>
      </c>
      <c r="J8" s="5">
        <v>4</v>
      </c>
      <c r="K8" s="5">
        <v>5</v>
      </c>
      <c r="L8" s="5">
        <v>3</v>
      </c>
      <c r="M8" s="5">
        <v>1</v>
      </c>
      <c r="N8" s="5">
        <v>0</v>
      </c>
      <c r="O8" s="5">
        <v>0</v>
      </c>
      <c r="P8" s="5">
        <v>18</v>
      </c>
      <c r="Q8" s="5">
        <v>18</v>
      </c>
      <c r="R8" s="5">
        <v>51</v>
      </c>
      <c r="S8" s="5">
        <v>59</v>
      </c>
      <c r="T8" s="5">
        <v>11</v>
      </c>
      <c r="U8" s="5">
        <v>1</v>
      </c>
    </row>
    <row r="9" spans="1:21" ht="45.75" customHeight="1">
      <c r="A9" s="165" t="s">
        <v>235</v>
      </c>
      <c r="B9" s="5">
        <v>43</v>
      </c>
      <c r="C9" s="5">
        <v>24</v>
      </c>
      <c r="D9" s="5">
        <v>322</v>
      </c>
      <c r="E9" s="5">
        <v>221</v>
      </c>
      <c r="F9" s="5">
        <v>130</v>
      </c>
      <c r="G9" s="5">
        <v>79</v>
      </c>
      <c r="H9" s="5">
        <v>529</v>
      </c>
      <c r="I9" s="5">
        <v>158</v>
      </c>
      <c r="J9" s="5">
        <v>3</v>
      </c>
      <c r="K9" s="5">
        <v>2</v>
      </c>
      <c r="L9" s="5">
        <v>2</v>
      </c>
      <c r="M9" s="5">
        <v>0</v>
      </c>
      <c r="N9" s="5">
        <v>0</v>
      </c>
      <c r="O9" s="5">
        <v>0</v>
      </c>
      <c r="P9" s="5">
        <v>4</v>
      </c>
      <c r="Q9" s="5">
        <v>1</v>
      </c>
      <c r="R9" s="5">
        <v>42</v>
      </c>
      <c r="S9" s="5">
        <v>19</v>
      </c>
      <c r="T9" s="5">
        <v>13</v>
      </c>
      <c r="U9" s="5">
        <v>6</v>
      </c>
    </row>
    <row r="10" spans="1:21" ht="31.5" customHeight="1">
      <c r="A10" s="165" t="s">
        <v>236</v>
      </c>
      <c r="B10" s="5">
        <v>75</v>
      </c>
      <c r="C10" s="5">
        <v>29</v>
      </c>
      <c r="D10" s="5">
        <v>325</v>
      </c>
      <c r="E10" s="5">
        <v>151</v>
      </c>
      <c r="F10" s="5">
        <v>98</v>
      </c>
      <c r="G10" s="5">
        <v>21</v>
      </c>
      <c r="H10" s="5">
        <v>341</v>
      </c>
      <c r="I10" s="5">
        <v>77</v>
      </c>
      <c r="J10" s="5">
        <v>1</v>
      </c>
      <c r="K10" s="5">
        <v>0</v>
      </c>
      <c r="L10" s="5">
        <v>1</v>
      </c>
      <c r="M10" s="5">
        <v>0</v>
      </c>
      <c r="N10" s="5">
        <v>0</v>
      </c>
      <c r="O10" s="5">
        <v>0</v>
      </c>
      <c r="P10" s="5">
        <v>5</v>
      </c>
      <c r="Q10" s="5">
        <v>8</v>
      </c>
      <c r="R10" s="5">
        <v>34</v>
      </c>
      <c r="S10" s="5">
        <v>20</v>
      </c>
      <c r="T10" s="5">
        <v>8</v>
      </c>
      <c r="U10" s="5">
        <v>1</v>
      </c>
    </row>
    <row r="11" spans="1:21" ht="33" customHeight="1">
      <c r="A11" s="165" t="s">
        <v>237</v>
      </c>
      <c r="B11" s="5">
        <v>90</v>
      </c>
      <c r="C11" s="5">
        <v>22</v>
      </c>
      <c r="D11" s="5">
        <v>454</v>
      </c>
      <c r="E11" s="5">
        <v>136</v>
      </c>
      <c r="F11" s="5">
        <v>176</v>
      </c>
      <c r="G11" s="5">
        <v>31</v>
      </c>
      <c r="H11" s="5">
        <v>544</v>
      </c>
      <c r="I11" s="5">
        <v>90</v>
      </c>
      <c r="J11" s="5">
        <v>0</v>
      </c>
      <c r="K11" s="5">
        <v>0</v>
      </c>
      <c r="L11" s="5">
        <v>1</v>
      </c>
      <c r="M11" s="5">
        <v>0</v>
      </c>
      <c r="N11" s="5">
        <v>0</v>
      </c>
      <c r="O11" s="5">
        <v>0</v>
      </c>
      <c r="P11" s="5">
        <v>10</v>
      </c>
      <c r="Q11" s="5">
        <v>0</v>
      </c>
      <c r="R11" s="5">
        <v>60</v>
      </c>
      <c r="S11" s="5">
        <v>15</v>
      </c>
      <c r="T11" s="5">
        <v>15</v>
      </c>
      <c r="U11" s="5">
        <v>5</v>
      </c>
    </row>
    <row r="12" spans="1:21" ht="30.75" thickBot="1">
      <c r="A12" s="166" t="s">
        <v>238</v>
      </c>
      <c r="B12" s="167">
        <v>90</v>
      </c>
      <c r="C12" s="167">
        <v>60</v>
      </c>
      <c r="D12" s="167">
        <v>487</v>
      </c>
      <c r="E12" s="167">
        <v>318</v>
      </c>
      <c r="F12" s="167">
        <v>233</v>
      </c>
      <c r="G12" s="167">
        <v>114</v>
      </c>
      <c r="H12" s="167">
        <v>598</v>
      </c>
      <c r="I12" s="167">
        <v>249</v>
      </c>
      <c r="J12" s="167"/>
      <c r="K12" s="167">
        <v>0</v>
      </c>
      <c r="L12" s="167">
        <v>0</v>
      </c>
      <c r="M12" s="167">
        <v>0</v>
      </c>
      <c r="N12" s="167">
        <v>0</v>
      </c>
      <c r="O12" s="167">
        <v>0</v>
      </c>
      <c r="P12" s="167">
        <v>7</v>
      </c>
      <c r="Q12" s="167">
        <v>5</v>
      </c>
      <c r="R12" s="167">
        <v>31</v>
      </c>
      <c r="S12" s="167">
        <v>22</v>
      </c>
      <c r="T12" s="167">
        <v>26</v>
      </c>
      <c r="U12" s="167">
        <v>17</v>
      </c>
    </row>
    <row r="13" spans="1:21" s="31" customFormat="1" ht="32.25" customHeight="1" thickBot="1">
      <c r="A13" s="30" t="s">
        <v>126</v>
      </c>
      <c r="B13" s="168">
        <f>SUM(B4:B12)</f>
        <v>982</v>
      </c>
      <c r="C13" s="168">
        <f t="shared" ref="C13:U13" si="0">SUM(C4:C12)</f>
        <v>586</v>
      </c>
      <c r="D13" s="168">
        <f t="shared" si="0"/>
        <v>5429</v>
      </c>
      <c r="E13" s="168">
        <f t="shared" si="0"/>
        <v>3048</v>
      </c>
      <c r="F13" s="168">
        <f t="shared" si="0"/>
        <v>1837</v>
      </c>
      <c r="G13" s="168">
        <f t="shared" si="0"/>
        <v>736</v>
      </c>
      <c r="H13" s="168">
        <f t="shared" si="0"/>
        <v>8291</v>
      </c>
      <c r="I13" s="168">
        <f t="shared" si="0"/>
        <v>1792</v>
      </c>
      <c r="J13" s="168">
        <f t="shared" si="0"/>
        <v>16</v>
      </c>
      <c r="K13" s="168">
        <f t="shared" si="0"/>
        <v>18</v>
      </c>
      <c r="L13" s="168">
        <f t="shared" si="0"/>
        <v>44</v>
      </c>
      <c r="M13" s="168">
        <f t="shared" si="0"/>
        <v>19</v>
      </c>
      <c r="N13" s="168">
        <f t="shared" si="0"/>
        <v>8</v>
      </c>
      <c r="O13" s="168">
        <f t="shared" si="0"/>
        <v>1</v>
      </c>
      <c r="P13" s="168">
        <f t="shared" si="0"/>
        <v>83</v>
      </c>
      <c r="Q13" s="168">
        <f t="shared" si="0"/>
        <v>44</v>
      </c>
      <c r="R13" s="168">
        <f t="shared" si="0"/>
        <v>565</v>
      </c>
      <c r="S13" s="168">
        <f t="shared" si="0"/>
        <v>345</v>
      </c>
      <c r="T13" s="168">
        <f t="shared" si="0"/>
        <v>192</v>
      </c>
      <c r="U13" s="169">
        <f t="shared" si="0"/>
        <v>99</v>
      </c>
    </row>
    <row r="14" spans="1:21">
      <c r="N14" s="4"/>
      <c r="O14" s="4"/>
      <c r="P14" s="4"/>
      <c r="Q14" s="4"/>
      <c r="R14" s="4"/>
    </row>
    <row r="15" spans="1:21">
      <c r="N15" s="4"/>
      <c r="O15" s="4"/>
      <c r="P15" s="4"/>
      <c r="Q15" s="4"/>
      <c r="R15" s="4"/>
    </row>
    <row r="16" spans="1:21">
      <c r="N16" s="4"/>
      <c r="O16" s="4"/>
      <c r="P16" s="4"/>
      <c r="Q16" s="4"/>
      <c r="R16" s="4"/>
    </row>
    <row r="17" spans="14:18">
      <c r="N17" s="4"/>
      <c r="O17" s="4"/>
      <c r="P17" s="4"/>
      <c r="Q17" s="4"/>
      <c r="R17" s="4"/>
    </row>
  </sheetData>
  <mergeCells count="12">
    <mergeCell ref="R2:S2"/>
    <mergeCell ref="T2:U2"/>
    <mergeCell ref="A1:U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7" right="0.7" top="0.75" bottom="0.75" header="0.3" footer="0.3"/>
  <pageSetup paperSize="9" scale="7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9"/>
  <sheetViews>
    <sheetView topLeftCell="A12" zoomScaleNormal="100" workbookViewId="0">
      <pane xSplit="3" topLeftCell="D1" activePane="topRight" state="frozen"/>
      <selection activeCell="A4" sqref="A4"/>
      <selection pane="topRight" activeCell="X12" sqref="X1:X1048576"/>
    </sheetView>
  </sheetViews>
  <sheetFormatPr defaultRowHeight="15"/>
  <cols>
    <col min="1" max="1" width="8.5703125" customWidth="1"/>
    <col min="2" max="2" width="19.140625" customWidth="1"/>
    <col min="3" max="3" width="22" customWidth="1"/>
    <col min="4" max="23" width="5.85546875" style="6" customWidth="1"/>
    <col min="24" max="24" width="15.42578125" customWidth="1"/>
    <col min="25" max="25" width="14.28515625" customWidth="1"/>
    <col min="26" max="26" width="17.140625" customWidth="1"/>
    <col min="27" max="27" width="13.42578125" customWidth="1"/>
    <col min="28" max="28" width="16.140625" customWidth="1"/>
    <col min="29" max="29" width="17.5703125" customWidth="1"/>
    <col min="30" max="30" width="15.7109375" customWidth="1"/>
    <col min="31" max="31" width="19.85546875" customWidth="1"/>
    <col min="32" max="32" width="18.5703125" customWidth="1"/>
  </cols>
  <sheetData>
    <row r="1" spans="1:23">
      <c r="A1" s="320" t="s">
        <v>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87.75" customHeight="1">
      <c r="A2" s="22" t="s">
        <v>0</v>
      </c>
      <c r="B2" s="22" t="s">
        <v>4</v>
      </c>
      <c r="C2" s="22" t="s">
        <v>1</v>
      </c>
      <c r="D2" s="311" t="s">
        <v>5</v>
      </c>
      <c r="E2" s="321"/>
      <c r="F2" s="325" t="s">
        <v>2</v>
      </c>
      <c r="G2" s="321"/>
      <c r="H2" s="311" t="s">
        <v>10</v>
      </c>
      <c r="I2" s="321"/>
      <c r="J2" s="326" t="s">
        <v>11</v>
      </c>
      <c r="K2" s="321"/>
      <c r="L2" s="326" t="s">
        <v>9</v>
      </c>
      <c r="M2" s="327"/>
      <c r="N2" s="326" t="s">
        <v>14</v>
      </c>
      <c r="O2" s="327"/>
      <c r="P2" s="326" t="s">
        <v>15</v>
      </c>
      <c r="Q2" s="327"/>
      <c r="R2" s="311" t="s">
        <v>3</v>
      </c>
      <c r="S2" s="321"/>
      <c r="T2" s="311" t="s">
        <v>12</v>
      </c>
      <c r="U2" s="321"/>
      <c r="V2" s="311" t="s">
        <v>13</v>
      </c>
      <c r="W2" s="319"/>
    </row>
    <row r="3" spans="1:23">
      <c r="A3" s="129"/>
      <c r="B3" s="129"/>
      <c r="C3" s="129"/>
      <c r="D3" s="64" t="s">
        <v>6</v>
      </c>
      <c r="E3" s="64" t="s">
        <v>7</v>
      </c>
      <c r="F3" s="64" t="s">
        <v>6</v>
      </c>
      <c r="G3" s="64" t="s">
        <v>7</v>
      </c>
      <c r="H3" s="64" t="s">
        <v>6</v>
      </c>
      <c r="I3" s="64" t="s">
        <v>7</v>
      </c>
      <c r="J3" s="64" t="s">
        <v>6</v>
      </c>
      <c r="K3" s="64" t="s">
        <v>7</v>
      </c>
      <c r="L3" s="64" t="s">
        <v>6</v>
      </c>
      <c r="M3" s="64" t="s">
        <v>7</v>
      </c>
      <c r="N3" s="64" t="s">
        <v>6</v>
      </c>
      <c r="O3" s="64" t="s">
        <v>7</v>
      </c>
      <c r="P3" s="64" t="s">
        <v>6</v>
      </c>
      <c r="Q3" s="64" t="s">
        <v>7</v>
      </c>
      <c r="R3" s="64" t="s">
        <v>6</v>
      </c>
      <c r="S3" s="64" t="s">
        <v>7</v>
      </c>
      <c r="T3" s="64" t="s">
        <v>6</v>
      </c>
      <c r="U3" s="64" t="s">
        <v>7</v>
      </c>
      <c r="V3" s="64" t="s">
        <v>6</v>
      </c>
      <c r="W3" s="64" t="s">
        <v>7</v>
      </c>
    </row>
    <row r="4" spans="1:23" ht="63" customHeight="1">
      <c r="A4" s="376" t="s">
        <v>241</v>
      </c>
      <c r="B4" s="160" t="s">
        <v>242</v>
      </c>
      <c r="C4" s="73" t="s">
        <v>243</v>
      </c>
      <c r="D4" s="134">
        <v>75</v>
      </c>
      <c r="E4" s="134">
        <v>133</v>
      </c>
      <c r="F4" s="134">
        <v>272</v>
      </c>
      <c r="G4" s="134">
        <v>480</v>
      </c>
      <c r="H4" s="134">
        <v>111</v>
      </c>
      <c r="I4" s="134">
        <v>128</v>
      </c>
      <c r="J4" s="134">
        <v>107</v>
      </c>
      <c r="K4" s="134">
        <v>144</v>
      </c>
      <c r="L4" s="134">
        <v>24</v>
      </c>
      <c r="M4" s="136">
        <v>38</v>
      </c>
      <c r="N4" s="136">
        <v>8</v>
      </c>
      <c r="O4" s="136">
        <v>12</v>
      </c>
      <c r="P4" s="136">
        <v>0</v>
      </c>
      <c r="Q4" s="136">
        <v>0</v>
      </c>
      <c r="R4" s="136">
        <v>1</v>
      </c>
      <c r="S4" s="136">
        <v>10</v>
      </c>
      <c r="T4" s="136">
        <v>15</v>
      </c>
      <c r="U4" s="136">
        <v>24</v>
      </c>
      <c r="V4" s="136">
        <v>12</v>
      </c>
      <c r="W4" s="136">
        <v>18</v>
      </c>
    </row>
    <row r="5" spans="1:23" ht="40.5" customHeight="1">
      <c r="A5" s="377"/>
      <c r="B5" s="160" t="s">
        <v>38</v>
      </c>
      <c r="C5" s="73" t="s">
        <v>244</v>
      </c>
      <c r="D5" s="134">
        <v>70</v>
      </c>
      <c r="E5" s="134">
        <v>57</v>
      </c>
      <c r="F5" s="134">
        <v>196</v>
      </c>
      <c r="G5" s="134">
        <v>158</v>
      </c>
      <c r="H5" s="134">
        <v>0</v>
      </c>
      <c r="I5" s="134">
        <v>0</v>
      </c>
      <c r="J5" s="134">
        <v>0</v>
      </c>
      <c r="K5" s="134">
        <v>0</v>
      </c>
      <c r="L5" s="134">
        <v>28</v>
      </c>
      <c r="M5" s="136">
        <v>21</v>
      </c>
      <c r="N5" s="136">
        <v>0</v>
      </c>
      <c r="O5" s="136">
        <v>0</v>
      </c>
      <c r="P5" s="136">
        <v>0</v>
      </c>
      <c r="Q5" s="136">
        <v>0</v>
      </c>
      <c r="R5" s="136">
        <v>5</v>
      </c>
      <c r="S5" s="136">
        <v>5</v>
      </c>
      <c r="T5" s="136">
        <v>0</v>
      </c>
      <c r="U5" s="136">
        <v>0</v>
      </c>
      <c r="V5" s="136">
        <v>0</v>
      </c>
      <c r="W5" s="136">
        <v>0</v>
      </c>
    </row>
    <row r="6" spans="1:23" ht="30.75" customHeight="1">
      <c r="A6" s="377"/>
      <c r="B6" s="161" t="s">
        <v>245</v>
      </c>
      <c r="C6" s="73" t="s">
        <v>245</v>
      </c>
      <c r="D6" s="136">
        <v>15</v>
      </c>
      <c r="E6" s="136">
        <v>3</v>
      </c>
      <c r="F6" s="136">
        <v>115</v>
      </c>
      <c r="G6" s="136">
        <v>159</v>
      </c>
      <c r="H6" s="136">
        <v>80</v>
      </c>
      <c r="I6" s="136">
        <v>53</v>
      </c>
      <c r="J6" s="136">
        <v>322</v>
      </c>
      <c r="K6" s="136">
        <v>443</v>
      </c>
      <c r="L6" s="136">
        <v>8</v>
      </c>
      <c r="M6" s="136">
        <v>3</v>
      </c>
      <c r="N6" s="136">
        <v>8</v>
      </c>
      <c r="O6" s="136">
        <v>2</v>
      </c>
      <c r="P6" s="136">
        <v>1</v>
      </c>
      <c r="Q6" s="136">
        <v>1</v>
      </c>
      <c r="R6" s="136">
        <v>0</v>
      </c>
      <c r="S6" s="136">
        <v>0</v>
      </c>
      <c r="T6" s="136">
        <v>1</v>
      </c>
      <c r="U6" s="136">
        <v>1</v>
      </c>
      <c r="V6" s="136">
        <v>5</v>
      </c>
      <c r="W6" s="136">
        <v>9</v>
      </c>
    </row>
    <row r="7" spans="1:23" ht="51.75" customHeight="1">
      <c r="A7" s="377"/>
      <c r="B7" s="161" t="s">
        <v>245</v>
      </c>
      <c r="C7" s="73" t="s">
        <v>246</v>
      </c>
      <c r="D7" s="134">
        <v>26</v>
      </c>
      <c r="E7" s="134">
        <v>49</v>
      </c>
      <c r="F7" s="134">
        <v>108</v>
      </c>
      <c r="G7" s="134">
        <v>263</v>
      </c>
      <c r="H7" s="134">
        <v>55</v>
      </c>
      <c r="I7" s="134">
        <v>106</v>
      </c>
      <c r="J7" s="134">
        <v>129</v>
      </c>
      <c r="K7" s="134">
        <v>183</v>
      </c>
      <c r="L7" s="134">
        <v>11</v>
      </c>
      <c r="M7" s="134">
        <v>33</v>
      </c>
      <c r="N7" s="134">
        <v>1</v>
      </c>
      <c r="O7" s="134">
        <v>4</v>
      </c>
      <c r="P7" s="134">
        <v>0</v>
      </c>
      <c r="Q7" s="134">
        <v>0</v>
      </c>
      <c r="R7" s="134">
        <v>1</v>
      </c>
      <c r="S7" s="134">
        <v>4</v>
      </c>
      <c r="T7" s="134">
        <v>3</v>
      </c>
      <c r="U7" s="134">
        <v>21</v>
      </c>
      <c r="V7" s="134">
        <v>6</v>
      </c>
      <c r="W7" s="134">
        <v>24</v>
      </c>
    </row>
    <row r="8" spans="1:23" ht="49.5" customHeight="1">
      <c r="A8" s="377"/>
      <c r="B8" s="160" t="s">
        <v>247</v>
      </c>
      <c r="C8" s="73" t="s">
        <v>248</v>
      </c>
      <c r="D8" s="134">
        <v>0</v>
      </c>
      <c r="E8" s="134">
        <v>0</v>
      </c>
      <c r="F8" s="134">
        <v>0</v>
      </c>
      <c r="G8" s="134">
        <v>0</v>
      </c>
      <c r="H8" s="134">
        <v>231</v>
      </c>
      <c r="I8" s="134">
        <v>66</v>
      </c>
      <c r="J8" s="134">
        <v>274</v>
      </c>
      <c r="K8" s="134">
        <v>84</v>
      </c>
      <c r="L8" s="134">
        <v>5</v>
      </c>
      <c r="M8" s="136">
        <v>3</v>
      </c>
      <c r="N8" s="136">
        <v>0</v>
      </c>
      <c r="O8" s="136">
        <v>0</v>
      </c>
      <c r="P8" s="136">
        <v>0</v>
      </c>
      <c r="Q8" s="136">
        <v>0</v>
      </c>
      <c r="R8" s="136">
        <v>1</v>
      </c>
      <c r="S8" s="136">
        <v>0</v>
      </c>
      <c r="T8" s="136">
        <v>5</v>
      </c>
      <c r="U8" s="136">
        <v>2</v>
      </c>
      <c r="V8" s="136">
        <v>18</v>
      </c>
      <c r="W8" s="136">
        <v>2</v>
      </c>
    </row>
    <row r="9" spans="1:23" ht="42" customHeight="1">
      <c r="A9" s="378"/>
      <c r="B9" s="160" t="s">
        <v>249</v>
      </c>
      <c r="C9" s="73" t="s">
        <v>250</v>
      </c>
      <c r="D9" s="134">
        <v>23</v>
      </c>
      <c r="E9" s="134">
        <v>92</v>
      </c>
      <c r="F9" s="134">
        <v>85</v>
      </c>
      <c r="G9" s="134">
        <v>352</v>
      </c>
      <c r="H9" s="134">
        <v>18</v>
      </c>
      <c r="I9" s="134">
        <v>98</v>
      </c>
      <c r="J9" s="134">
        <v>48</v>
      </c>
      <c r="K9" s="134">
        <v>242</v>
      </c>
      <c r="L9" s="134">
        <v>0</v>
      </c>
      <c r="M9" s="136">
        <v>2</v>
      </c>
      <c r="N9" s="136">
        <v>0</v>
      </c>
      <c r="O9" s="136">
        <v>0</v>
      </c>
      <c r="P9" s="136">
        <v>0</v>
      </c>
      <c r="Q9" s="136">
        <v>0</v>
      </c>
      <c r="R9" s="136">
        <v>1</v>
      </c>
      <c r="S9" s="136">
        <v>6</v>
      </c>
      <c r="T9" s="136">
        <v>11</v>
      </c>
      <c r="U9" s="136">
        <v>81</v>
      </c>
      <c r="V9" s="136">
        <v>2</v>
      </c>
      <c r="W9" s="136">
        <v>12</v>
      </c>
    </row>
    <row r="10" spans="1:23" ht="36" customHeight="1">
      <c r="A10" s="378"/>
      <c r="B10" s="162" t="s">
        <v>38</v>
      </c>
      <c r="C10" s="163" t="s">
        <v>251</v>
      </c>
      <c r="D10" s="137">
        <v>0</v>
      </c>
      <c r="E10" s="137">
        <v>0</v>
      </c>
      <c r="F10" s="134">
        <v>7</v>
      </c>
      <c r="G10" s="134">
        <v>1</v>
      </c>
      <c r="H10" s="134">
        <v>294</v>
      </c>
      <c r="I10" s="134">
        <v>118</v>
      </c>
      <c r="J10" s="134">
        <v>387</v>
      </c>
      <c r="K10" s="134">
        <v>274</v>
      </c>
      <c r="L10" s="134">
        <v>4</v>
      </c>
      <c r="M10" s="136">
        <v>2</v>
      </c>
      <c r="N10" s="154">
        <v>0</v>
      </c>
      <c r="O10" s="154">
        <v>0</v>
      </c>
      <c r="P10" s="154">
        <v>0</v>
      </c>
      <c r="Q10" s="154">
        <v>0</v>
      </c>
      <c r="R10" s="134">
        <v>0</v>
      </c>
      <c r="S10" s="134">
        <v>0</v>
      </c>
      <c r="T10" s="134">
        <v>11</v>
      </c>
      <c r="U10" s="134">
        <v>11</v>
      </c>
      <c r="V10" s="134">
        <v>26</v>
      </c>
      <c r="W10" s="134">
        <v>27</v>
      </c>
    </row>
    <row r="11" spans="1:23" ht="41.25" customHeight="1">
      <c r="A11" s="378"/>
      <c r="B11" s="160" t="s">
        <v>249</v>
      </c>
      <c r="C11" s="73" t="s">
        <v>252</v>
      </c>
      <c r="D11" s="134">
        <v>10</v>
      </c>
      <c r="E11" s="134">
        <v>8</v>
      </c>
      <c r="F11" s="134">
        <v>115</v>
      </c>
      <c r="G11" s="134">
        <v>197</v>
      </c>
      <c r="H11" s="134">
        <v>73</v>
      </c>
      <c r="I11" s="134">
        <v>144</v>
      </c>
      <c r="J11" s="134">
        <v>167</v>
      </c>
      <c r="K11" s="134">
        <v>322</v>
      </c>
      <c r="L11" s="134">
        <v>2</v>
      </c>
      <c r="M11" s="134">
        <v>13</v>
      </c>
      <c r="N11" s="134">
        <v>1</v>
      </c>
      <c r="O11" s="134">
        <v>1</v>
      </c>
      <c r="P11" s="134">
        <v>0</v>
      </c>
      <c r="Q11" s="134">
        <v>0</v>
      </c>
      <c r="R11" s="134">
        <v>2</v>
      </c>
      <c r="S11" s="134">
        <v>1</v>
      </c>
      <c r="T11" s="134">
        <v>16</v>
      </c>
      <c r="U11" s="134">
        <v>33</v>
      </c>
      <c r="V11" s="134">
        <v>4</v>
      </c>
      <c r="W11" s="134">
        <v>4</v>
      </c>
    </row>
    <row r="12" spans="1:23" ht="43.5" customHeight="1">
      <c r="A12" s="378"/>
      <c r="B12" s="160" t="s">
        <v>247</v>
      </c>
      <c r="C12" s="73" t="s">
        <v>70</v>
      </c>
      <c r="D12" s="134">
        <v>62</v>
      </c>
      <c r="E12" s="134">
        <v>62</v>
      </c>
      <c r="F12" s="134">
        <v>330</v>
      </c>
      <c r="G12" s="134">
        <v>297</v>
      </c>
      <c r="H12" s="134">
        <v>126</v>
      </c>
      <c r="I12" s="134">
        <v>81</v>
      </c>
      <c r="J12" s="134">
        <v>39</v>
      </c>
      <c r="K12" s="134">
        <v>101</v>
      </c>
      <c r="L12" s="134">
        <v>4</v>
      </c>
      <c r="M12" s="134">
        <v>7</v>
      </c>
      <c r="N12" s="136">
        <v>6</v>
      </c>
      <c r="O12" s="136">
        <v>9</v>
      </c>
      <c r="P12" s="134">
        <v>0</v>
      </c>
      <c r="Q12" s="134">
        <v>0</v>
      </c>
      <c r="R12" s="134">
        <v>2</v>
      </c>
      <c r="S12" s="134">
        <v>4</v>
      </c>
      <c r="T12" s="134">
        <v>13</v>
      </c>
      <c r="U12" s="134">
        <v>24</v>
      </c>
      <c r="V12" s="134">
        <v>8</v>
      </c>
      <c r="W12" s="134">
        <v>7</v>
      </c>
    </row>
    <row r="13" spans="1:23" ht="43.5" customHeight="1">
      <c r="A13" s="378"/>
      <c r="B13" s="160" t="s">
        <v>242</v>
      </c>
      <c r="C13" s="73" t="s">
        <v>253</v>
      </c>
      <c r="D13" s="134">
        <v>4</v>
      </c>
      <c r="E13" s="134">
        <v>15</v>
      </c>
      <c r="F13" s="134">
        <v>40</v>
      </c>
      <c r="G13" s="137">
        <v>168</v>
      </c>
      <c r="H13" s="164">
        <v>19</v>
      </c>
      <c r="I13" s="164">
        <v>67</v>
      </c>
      <c r="J13" s="137">
        <v>123</v>
      </c>
      <c r="K13" s="137">
        <v>327</v>
      </c>
      <c r="L13" s="134">
        <v>4</v>
      </c>
      <c r="M13" s="153">
        <v>10</v>
      </c>
      <c r="N13" s="153">
        <v>0</v>
      </c>
      <c r="O13" s="153">
        <v>1</v>
      </c>
      <c r="P13" s="153">
        <v>0</v>
      </c>
      <c r="Q13" s="153">
        <v>0</v>
      </c>
      <c r="R13" s="134">
        <v>0</v>
      </c>
      <c r="S13" s="134">
        <v>0</v>
      </c>
      <c r="T13" s="134">
        <v>11</v>
      </c>
      <c r="U13" s="134">
        <v>19</v>
      </c>
      <c r="V13" s="134">
        <v>5</v>
      </c>
      <c r="W13" s="134">
        <v>20</v>
      </c>
    </row>
    <row r="14" spans="1:23" ht="42.75" customHeight="1">
      <c r="A14" s="378"/>
      <c r="B14" s="160" t="s">
        <v>242</v>
      </c>
      <c r="C14" s="73" t="s">
        <v>33</v>
      </c>
      <c r="D14" s="134">
        <v>122</v>
      </c>
      <c r="E14" s="134">
        <v>44</v>
      </c>
      <c r="F14" s="134">
        <v>479</v>
      </c>
      <c r="G14" s="134">
        <v>119</v>
      </c>
      <c r="H14" s="134">
        <v>136</v>
      </c>
      <c r="I14" s="136">
        <v>25</v>
      </c>
      <c r="J14" s="136">
        <v>303</v>
      </c>
      <c r="K14" s="136">
        <v>95</v>
      </c>
      <c r="L14" s="136">
        <v>93</v>
      </c>
      <c r="M14" s="136">
        <v>21</v>
      </c>
      <c r="N14" s="136">
        <v>13</v>
      </c>
      <c r="O14" s="136">
        <v>2</v>
      </c>
      <c r="P14" s="136">
        <v>0</v>
      </c>
      <c r="Q14" s="136">
        <v>0</v>
      </c>
      <c r="R14" s="136">
        <v>0</v>
      </c>
      <c r="S14" s="136">
        <v>0</v>
      </c>
      <c r="T14" s="136">
        <v>14</v>
      </c>
      <c r="U14" s="136">
        <v>8</v>
      </c>
      <c r="V14" s="136">
        <v>32</v>
      </c>
      <c r="W14" s="136">
        <v>6</v>
      </c>
    </row>
    <row r="15" spans="1:23" ht="48.75" customHeight="1">
      <c r="A15" s="378"/>
      <c r="B15" s="160" t="s">
        <v>247</v>
      </c>
      <c r="C15" s="73" t="s">
        <v>254</v>
      </c>
      <c r="D15" s="134">
        <v>51</v>
      </c>
      <c r="E15" s="134">
        <v>64</v>
      </c>
      <c r="F15" s="134">
        <v>269</v>
      </c>
      <c r="G15" s="134">
        <v>285</v>
      </c>
      <c r="H15" s="134">
        <v>101</v>
      </c>
      <c r="I15" s="134">
        <v>103</v>
      </c>
      <c r="J15" s="134">
        <v>201</v>
      </c>
      <c r="K15" s="134">
        <v>150</v>
      </c>
      <c r="L15" s="134">
        <v>104</v>
      </c>
      <c r="M15" s="134">
        <v>99</v>
      </c>
      <c r="N15" s="134">
        <v>1</v>
      </c>
      <c r="O15" s="134">
        <v>0</v>
      </c>
      <c r="P15" s="134">
        <v>0</v>
      </c>
      <c r="Q15" s="134">
        <v>0</v>
      </c>
      <c r="R15" s="134">
        <v>1</v>
      </c>
      <c r="S15" s="134">
        <v>2</v>
      </c>
      <c r="T15" s="134">
        <v>11</v>
      </c>
      <c r="U15" s="134">
        <v>14</v>
      </c>
      <c r="V15" s="134">
        <v>3</v>
      </c>
      <c r="W15" s="134">
        <v>5</v>
      </c>
    </row>
    <row r="16" spans="1:23">
      <c r="A16" s="60"/>
      <c r="B16" s="60"/>
      <c r="C16" s="73" t="s">
        <v>126</v>
      </c>
      <c r="D16" s="134">
        <f>SUM(D4:D15)</f>
        <v>458</v>
      </c>
      <c r="E16" s="134">
        <f t="shared" ref="E16:W16" si="0">SUM(E4:E15)</f>
        <v>527</v>
      </c>
      <c r="F16" s="134">
        <f t="shared" si="0"/>
        <v>2016</v>
      </c>
      <c r="G16" s="134">
        <f t="shared" si="0"/>
        <v>2479</v>
      </c>
      <c r="H16" s="134">
        <f t="shared" si="0"/>
        <v>1244</v>
      </c>
      <c r="I16" s="134">
        <f t="shared" si="0"/>
        <v>989</v>
      </c>
      <c r="J16" s="134">
        <f t="shared" si="0"/>
        <v>2100</v>
      </c>
      <c r="K16" s="134">
        <f t="shared" si="0"/>
        <v>2365</v>
      </c>
      <c r="L16" s="134">
        <f t="shared" si="0"/>
        <v>287</v>
      </c>
      <c r="M16" s="134">
        <f t="shared" si="0"/>
        <v>252</v>
      </c>
      <c r="N16" s="134">
        <f t="shared" si="0"/>
        <v>38</v>
      </c>
      <c r="O16" s="134">
        <f t="shared" si="0"/>
        <v>31</v>
      </c>
      <c r="P16" s="134">
        <f t="shared" si="0"/>
        <v>1</v>
      </c>
      <c r="Q16" s="134">
        <f t="shared" si="0"/>
        <v>1</v>
      </c>
      <c r="R16" s="134">
        <f t="shared" si="0"/>
        <v>14</v>
      </c>
      <c r="S16" s="134">
        <f t="shared" si="0"/>
        <v>32</v>
      </c>
      <c r="T16" s="134">
        <f t="shared" si="0"/>
        <v>111</v>
      </c>
      <c r="U16" s="134">
        <f t="shared" si="0"/>
        <v>238</v>
      </c>
      <c r="V16" s="134">
        <f t="shared" si="0"/>
        <v>121</v>
      </c>
      <c r="W16" s="134">
        <f t="shared" si="0"/>
        <v>134</v>
      </c>
    </row>
    <row r="17" spans="13:17">
      <c r="M17" s="149"/>
      <c r="N17" s="149"/>
      <c r="O17" s="149"/>
      <c r="P17" s="149"/>
      <c r="Q17" s="149"/>
    </row>
    <row r="18" spans="13:17">
      <c r="M18" s="149"/>
      <c r="N18" s="149"/>
      <c r="O18" s="149"/>
      <c r="P18" s="149"/>
      <c r="Q18" s="149"/>
    </row>
    <row r="19" spans="13:17">
      <c r="M19" s="149"/>
      <c r="N19" s="149"/>
      <c r="O19" s="149"/>
      <c r="P19" s="149"/>
      <c r="Q19" s="149"/>
    </row>
  </sheetData>
  <mergeCells count="12">
    <mergeCell ref="V2:W2"/>
    <mergeCell ref="A4:A15"/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ageMargins left="0.7" right="0.7" top="0.75" bottom="0.75" header="0.3" footer="0.3"/>
  <pageSetup paperSize="9" scale="5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9"/>
  <sheetViews>
    <sheetView workbookViewId="0">
      <selection activeCell="X1" sqref="X1:X1048576"/>
    </sheetView>
  </sheetViews>
  <sheetFormatPr defaultRowHeight="15"/>
  <cols>
    <col min="1" max="1" width="37.140625" style="29" customWidth="1"/>
    <col min="2" max="2" width="26.42578125" bestFit="1" customWidth="1"/>
    <col min="3" max="3" width="49.5703125" bestFit="1" customWidth="1"/>
    <col min="4" max="4" width="6.42578125" style="28" bestFit="1" customWidth="1"/>
    <col min="5" max="5" width="5.7109375" style="28" customWidth="1"/>
    <col min="6" max="6" width="6.42578125" style="28" bestFit="1" customWidth="1"/>
    <col min="7" max="7" width="5.85546875" style="28" customWidth="1"/>
    <col min="8" max="8" width="6.42578125" style="28" bestFit="1" customWidth="1"/>
    <col min="9" max="9" width="5.85546875" style="28" bestFit="1" customWidth="1"/>
    <col min="10" max="10" width="6.42578125" style="28" bestFit="1" customWidth="1"/>
    <col min="11" max="11" width="5.85546875" style="28" customWidth="1"/>
    <col min="12" max="12" width="6.7109375" style="28" customWidth="1"/>
    <col min="13" max="13" width="5.85546875" style="28" bestFit="1" customWidth="1"/>
    <col min="14" max="14" width="6.42578125" style="28" customWidth="1"/>
    <col min="15" max="15" width="5.85546875" style="28" bestFit="1" customWidth="1"/>
    <col min="16" max="16" width="6.42578125" style="28" bestFit="1" customWidth="1"/>
    <col min="17" max="17" width="5.85546875" style="28" bestFit="1" customWidth="1"/>
    <col min="18" max="18" width="6.42578125" style="28" bestFit="1" customWidth="1"/>
    <col min="19" max="19" width="5.85546875" style="28" bestFit="1" customWidth="1"/>
    <col min="20" max="20" width="6.42578125" style="28" bestFit="1" customWidth="1"/>
    <col min="21" max="21" width="5.85546875" style="28" bestFit="1" customWidth="1"/>
    <col min="22" max="22" width="6.42578125" style="28" bestFit="1" customWidth="1"/>
    <col min="23" max="23" width="7.28515625" style="28" customWidth="1"/>
  </cols>
  <sheetData>
    <row r="1" spans="1:23" ht="18.75">
      <c r="A1" s="313" t="s">
        <v>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</row>
    <row r="2" spans="1:23" ht="87.75" customHeight="1">
      <c r="A2" s="1" t="s">
        <v>0</v>
      </c>
      <c r="B2" s="1" t="s">
        <v>4</v>
      </c>
      <c r="C2" s="1" t="s">
        <v>1</v>
      </c>
      <c r="D2" s="311" t="s">
        <v>5</v>
      </c>
      <c r="E2" s="314"/>
      <c r="F2" s="379" t="s">
        <v>2</v>
      </c>
      <c r="G2" s="358"/>
      <c r="H2" s="311" t="s">
        <v>10</v>
      </c>
      <c r="I2" s="314"/>
      <c r="J2" s="316" t="s">
        <v>11</v>
      </c>
      <c r="K2" s="314"/>
      <c r="L2" s="316" t="s">
        <v>9</v>
      </c>
      <c r="M2" s="317"/>
      <c r="N2" s="316" t="s">
        <v>14</v>
      </c>
      <c r="O2" s="317"/>
      <c r="P2" s="316" t="s">
        <v>15</v>
      </c>
      <c r="Q2" s="317"/>
      <c r="R2" s="311" t="s">
        <v>3</v>
      </c>
      <c r="S2" s="314"/>
      <c r="T2" s="311" t="s">
        <v>12</v>
      </c>
      <c r="U2" s="314"/>
      <c r="V2" s="311" t="s">
        <v>13</v>
      </c>
      <c r="W2" s="312"/>
    </row>
    <row r="3" spans="1:23" ht="25.5">
      <c r="A3" s="1"/>
      <c r="B3" s="1"/>
      <c r="C3" s="1"/>
      <c r="D3" s="22" t="s">
        <v>6</v>
      </c>
      <c r="E3" s="22" t="s">
        <v>7</v>
      </c>
      <c r="F3" s="22" t="s">
        <v>6</v>
      </c>
      <c r="G3" s="22" t="s">
        <v>7</v>
      </c>
      <c r="H3" s="22" t="s">
        <v>6</v>
      </c>
      <c r="I3" s="22" t="s">
        <v>7</v>
      </c>
      <c r="J3" s="22" t="s">
        <v>6</v>
      </c>
      <c r="K3" s="22" t="s">
        <v>7</v>
      </c>
      <c r="L3" s="22" t="s">
        <v>6</v>
      </c>
      <c r="M3" s="22" t="s">
        <v>7</v>
      </c>
      <c r="N3" s="22" t="s">
        <v>6</v>
      </c>
      <c r="O3" s="22" t="s">
        <v>7</v>
      </c>
      <c r="P3" s="22" t="s">
        <v>6</v>
      </c>
      <c r="Q3" s="22" t="s">
        <v>7</v>
      </c>
      <c r="R3" s="22" t="s">
        <v>6</v>
      </c>
      <c r="S3" s="22" t="s">
        <v>7</v>
      </c>
      <c r="T3" s="22" t="s">
        <v>6</v>
      </c>
      <c r="U3" s="22" t="s">
        <v>7</v>
      </c>
      <c r="V3" s="22" t="s">
        <v>6</v>
      </c>
      <c r="W3" s="22" t="s">
        <v>7</v>
      </c>
    </row>
    <row r="4" spans="1:23">
      <c r="A4" s="2" t="s">
        <v>255</v>
      </c>
      <c r="B4" s="3" t="s">
        <v>38</v>
      </c>
      <c r="C4" s="3" t="s">
        <v>256</v>
      </c>
      <c r="D4" s="25">
        <v>65</v>
      </c>
      <c r="E4" s="25">
        <v>93</v>
      </c>
      <c r="F4" s="25">
        <v>270</v>
      </c>
      <c r="G4" s="25">
        <v>356</v>
      </c>
      <c r="H4" s="25">
        <v>115</v>
      </c>
      <c r="I4" s="25">
        <v>87</v>
      </c>
      <c r="J4" s="25">
        <v>408</v>
      </c>
      <c r="K4" s="25">
        <v>314</v>
      </c>
      <c r="L4" s="25">
        <v>7</v>
      </c>
      <c r="M4" s="25">
        <v>6</v>
      </c>
      <c r="N4" s="25">
        <v>3</v>
      </c>
      <c r="O4" s="25">
        <v>5</v>
      </c>
      <c r="P4" s="75"/>
      <c r="Q4" s="75"/>
      <c r="R4" s="25">
        <v>54</v>
      </c>
      <c r="S4" s="25">
        <v>5</v>
      </c>
      <c r="T4" s="25">
        <v>17</v>
      </c>
      <c r="U4" s="25">
        <v>29</v>
      </c>
      <c r="V4" s="25">
        <v>23</v>
      </c>
      <c r="W4" s="25">
        <v>19</v>
      </c>
    </row>
    <row r="5" spans="1:23">
      <c r="A5" s="2"/>
      <c r="B5" s="3"/>
      <c r="C5" s="3" t="s">
        <v>257</v>
      </c>
      <c r="D5" s="25">
        <v>157</v>
      </c>
      <c r="E5" s="25">
        <v>132</v>
      </c>
      <c r="F5" s="25">
        <v>598</v>
      </c>
      <c r="G5" s="25">
        <v>531</v>
      </c>
      <c r="H5" s="25">
        <v>176</v>
      </c>
      <c r="I5" s="25">
        <v>97</v>
      </c>
      <c r="J5" s="25">
        <v>2944</v>
      </c>
      <c r="K5" s="25">
        <v>1185</v>
      </c>
      <c r="L5" s="25">
        <v>21</v>
      </c>
      <c r="M5" s="25">
        <v>12</v>
      </c>
      <c r="N5" s="25">
        <v>6</v>
      </c>
      <c r="O5" s="25">
        <v>3</v>
      </c>
      <c r="P5" s="75"/>
      <c r="Q5" s="75"/>
      <c r="R5" s="25">
        <v>30</v>
      </c>
      <c r="S5" s="25">
        <v>33</v>
      </c>
      <c r="T5" s="25">
        <v>60</v>
      </c>
      <c r="U5" s="25">
        <v>47</v>
      </c>
      <c r="V5" s="25">
        <v>40</v>
      </c>
      <c r="W5" s="25">
        <v>25</v>
      </c>
    </row>
    <row r="6" spans="1:23">
      <c r="A6" s="2"/>
      <c r="B6" s="3" t="s">
        <v>258</v>
      </c>
      <c r="C6" s="3" t="s">
        <v>259</v>
      </c>
      <c r="D6" s="25">
        <v>111</v>
      </c>
      <c r="E6" s="25">
        <v>130</v>
      </c>
      <c r="F6" s="25">
        <v>571</v>
      </c>
      <c r="G6" s="25">
        <v>516</v>
      </c>
      <c r="H6" s="25">
        <v>186</v>
      </c>
      <c r="I6" s="25">
        <v>134</v>
      </c>
      <c r="J6" s="25">
        <v>2672</v>
      </c>
      <c r="K6" s="25">
        <v>1259</v>
      </c>
      <c r="L6" s="25">
        <v>10</v>
      </c>
      <c r="M6" s="25">
        <v>12</v>
      </c>
      <c r="N6" s="25">
        <v>7</v>
      </c>
      <c r="O6" s="25">
        <v>2</v>
      </c>
      <c r="P6" s="75"/>
      <c r="Q6" s="75"/>
      <c r="R6" s="25">
        <v>50</v>
      </c>
      <c r="S6" s="25">
        <v>63</v>
      </c>
      <c r="T6" s="25">
        <v>91</v>
      </c>
      <c r="U6" s="25">
        <v>81</v>
      </c>
      <c r="V6" s="25">
        <v>49</v>
      </c>
      <c r="W6" s="25">
        <v>25</v>
      </c>
    </row>
    <row r="7" spans="1:23">
      <c r="A7" s="2"/>
      <c r="B7" s="3"/>
      <c r="C7" s="3" t="s">
        <v>156</v>
      </c>
      <c r="D7" s="25">
        <v>136</v>
      </c>
      <c r="E7" s="25">
        <v>92</v>
      </c>
      <c r="F7" s="25">
        <v>559</v>
      </c>
      <c r="G7" s="25">
        <v>381</v>
      </c>
      <c r="H7" s="25">
        <v>122</v>
      </c>
      <c r="I7" s="25">
        <v>69</v>
      </c>
      <c r="J7" s="25">
        <v>347</v>
      </c>
      <c r="K7" s="25">
        <v>265</v>
      </c>
      <c r="L7" s="25">
        <v>15</v>
      </c>
      <c r="M7" s="25">
        <v>9</v>
      </c>
      <c r="N7" s="25">
        <v>3</v>
      </c>
      <c r="O7" s="25">
        <v>2</v>
      </c>
      <c r="P7" s="75"/>
      <c r="Q7" s="75"/>
      <c r="R7" s="25">
        <v>30</v>
      </c>
      <c r="S7" s="25">
        <v>23</v>
      </c>
      <c r="T7" s="25">
        <v>51</v>
      </c>
      <c r="U7" s="25">
        <v>28</v>
      </c>
      <c r="V7" s="25">
        <v>23</v>
      </c>
      <c r="W7" s="25">
        <v>13</v>
      </c>
    </row>
    <row r="8" spans="1:23">
      <c r="A8" s="2"/>
      <c r="B8" s="3"/>
      <c r="C8" s="3" t="s">
        <v>260</v>
      </c>
      <c r="D8" s="25">
        <v>75</v>
      </c>
      <c r="E8" s="25">
        <v>140</v>
      </c>
      <c r="F8" s="25">
        <v>349</v>
      </c>
      <c r="G8" s="25">
        <v>524</v>
      </c>
      <c r="H8" s="25">
        <v>106</v>
      </c>
      <c r="I8" s="25">
        <v>83</v>
      </c>
      <c r="J8" s="25">
        <v>282</v>
      </c>
      <c r="K8" s="25">
        <v>274</v>
      </c>
      <c r="L8" s="25">
        <v>3</v>
      </c>
      <c r="M8" s="25">
        <v>7</v>
      </c>
      <c r="N8" s="25">
        <v>4</v>
      </c>
      <c r="O8" s="25">
        <v>8</v>
      </c>
      <c r="P8" s="75"/>
      <c r="Q8" s="75"/>
      <c r="R8" s="25">
        <v>4</v>
      </c>
      <c r="S8" s="25">
        <v>15</v>
      </c>
      <c r="T8" s="25">
        <v>36</v>
      </c>
      <c r="U8" s="25">
        <v>72</v>
      </c>
      <c r="V8" s="25">
        <v>16</v>
      </c>
      <c r="W8" s="25">
        <v>11</v>
      </c>
    </row>
    <row r="9" spans="1:23">
      <c r="A9" s="2"/>
      <c r="B9" s="3"/>
      <c r="C9" s="3" t="s">
        <v>155</v>
      </c>
      <c r="D9" s="25">
        <v>113</v>
      </c>
      <c r="E9" s="25">
        <v>86</v>
      </c>
      <c r="F9" s="25">
        <v>461</v>
      </c>
      <c r="G9" s="25">
        <v>371</v>
      </c>
      <c r="H9" s="25">
        <v>87</v>
      </c>
      <c r="I9" s="25">
        <v>34</v>
      </c>
      <c r="J9" s="25">
        <v>286</v>
      </c>
      <c r="K9" s="25">
        <v>149</v>
      </c>
      <c r="L9" s="25">
        <v>6</v>
      </c>
      <c r="M9" s="25">
        <v>9</v>
      </c>
      <c r="N9" s="25">
        <v>3</v>
      </c>
      <c r="O9" s="25">
        <v>3</v>
      </c>
      <c r="P9" s="75"/>
      <c r="Q9" s="75"/>
      <c r="R9" s="25">
        <v>30</v>
      </c>
      <c r="S9" s="25">
        <v>22</v>
      </c>
      <c r="T9" s="25">
        <v>31</v>
      </c>
      <c r="U9" s="25">
        <v>19</v>
      </c>
      <c r="V9" s="25">
        <v>13</v>
      </c>
      <c r="W9" s="25">
        <v>10</v>
      </c>
    </row>
    <row r="10" spans="1:23">
      <c r="A10" s="2"/>
      <c r="B10" s="3" t="s">
        <v>261</v>
      </c>
      <c r="C10" s="3" t="s">
        <v>33</v>
      </c>
      <c r="D10" s="25">
        <v>202</v>
      </c>
      <c r="E10" s="25">
        <v>80</v>
      </c>
      <c r="F10" s="25">
        <v>795</v>
      </c>
      <c r="G10" s="25">
        <v>284</v>
      </c>
      <c r="H10" s="25">
        <v>147</v>
      </c>
      <c r="I10" s="25">
        <v>61</v>
      </c>
      <c r="J10" s="25">
        <v>1154</v>
      </c>
      <c r="K10" s="25">
        <v>375</v>
      </c>
      <c r="L10" s="25">
        <v>31</v>
      </c>
      <c r="M10" s="25">
        <v>14</v>
      </c>
      <c r="N10" s="25">
        <v>9</v>
      </c>
      <c r="O10" s="25">
        <v>6</v>
      </c>
      <c r="P10" s="75"/>
      <c r="Q10" s="75"/>
      <c r="R10" s="25">
        <v>24</v>
      </c>
      <c r="S10" s="25">
        <v>5</v>
      </c>
      <c r="T10" s="25">
        <v>55</v>
      </c>
      <c r="U10" s="25">
        <v>25</v>
      </c>
      <c r="V10" s="25">
        <v>53</v>
      </c>
      <c r="W10" s="25">
        <v>15</v>
      </c>
    </row>
    <row r="11" spans="1:23">
      <c r="A11" s="2"/>
      <c r="B11" s="3"/>
      <c r="C11" s="3" t="s">
        <v>262</v>
      </c>
      <c r="D11" s="25">
        <v>91</v>
      </c>
      <c r="E11" s="25">
        <v>32</v>
      </c>
      <c r="F11" s="25">
        <v>294</v>
      </c>
      <c r="G11" s="25">
        <v>170</v>
      </c>
      <c r="H11" s="25">
        <v>72</v>
      </c>
      <c r="I11" s="25">
        <v>46</v>
      </c>
      <c r="J11" s="25">
        <v>312</v>
      </c>
      <c r="K11" s="25">
        <v>213</v>
      </c>
      <c r="L11" s="25">
        <v>10</v>
      </c>
      <c r="M11" s="25">
        <v>10</v>
      </c>
      <c r="N11" s="25">
        <v>8</v>
      </c>
      <c r="O11" s="25">
        <v>3</v>
      </c>
      <c r="P11" s="75"/>
      <c r="Q11" s="75"/>
      <c r="R11" s="25">
        <v>8</v>
      </c>
      <c r="S11" s="25">
        <v>8</v>
      </c>
      <c r="T11" s="25">
        <v>16</v>
      </c>
      <c r="U11" s="25">
        <v>14</v>
      </c>
      <c r="V11" s="25">
        <v>13</v>
      </c>
      <c r="W11" s="25">
        <v>10</v>
      </c>
    </row>
    <row r="12" spans="1:23">
      <c r="C12" s="3" t="s">
        <v>212</v>
      </c>
      <c r="D12" s="25">
        <f>SUM(D4:D11)</f>
        <v>950</v>
      </c>
      <c r="E12" s="25">
        <f t="shared" ref="E12:W12" si="0">SUM(E4:E11)</f>
        <v>785</v>
      </c>
      <c r="F12" s="25">
        <f t="shared" si="0"/>
        <v>3897</v>
      </c>
      <c r="G12" s="25">
        <f t="shared" si="0"/>
        <v>3133</v>
      </c>
      <c r="H12" s="25">
        <f t="shared" si="0"/>
        <v>1011</v>
      </c>
      <c r="I12" s="25">
        <f t="shared" si="0"/>
        <v>611</v>
      </c>
      <c r="J12" s="25">
        <f t="shared" si="0"/>
        <v>8405</v>
      </c>
      <c r="K12" s="25">
        <f t="shared" si="0"/>
        <v>4034</v>
      </c>
      <c r="L12" s="25">
        <f t="shared" si="0"/>
        <v>103</v>
      </c>
      <c r="M12" s="25">
        <f t="shared" si="0"/>
        <v>79</v>
      </c>
      <c r="N12" s="25">
        <f t="shared" si="0"/>
        <v>43</v>
      </c>
      <c r="O12" s="25">
        <f t="shared" si="0"/>
        <v>32</v>
      </c>
      <c r="P12" s="25">
        <f t="shared" si="0"/>
        <v>0</v>
      </c>
      <c r="Q12" s="25">
        <f t="shared" si="0"/>
        <v>0</v>
      </c>
      <c r="R12" s="25">
        <f t="shared" si="0"/>
        <v>230</v>
      </c>
      <c r="S12" s="25">
        <f t="shared" si="0"/>
        <v>174</v>
      </c>
      <c r="T12" s="25">
        <f t="shared" si="0"/>
        <v>357</v>
      </c>
      <c r="U12" s="25">
        <f t="shared" si="0"/>
        <v>315</v>
      </c>
      <c r="V12" s="25">
        <f t="shared" si="0"/>
        <v>230</v>
      </c>
      <c r="W12" s="25">
        <f t="shared" si="0"/>
        <v>128</v>
      </c>
    </row>
    <row r="13" spans="1:23">
      <c r="M13" s="63"/>
      <c r="N13" s="63"/>
      <c r="O13" s="63"/>
      <c r="P13" s="63"/>
      <c r="Q13" s="63"/>
    </row>
    <row r="14" spans="1:23">
      <c r="M14" s="63"/>
      <c r="N14" s="63"/>
      <c r="O14" s="63"/>
      <c r="P14" s="63"/>
      <c r="Q14" s="63"/>
    </row>
    <row r="15" spans="1:23">
      <c r="M15" s="63"/>
      <c r="N15" s="63"/>
      <c r="O15" s="63"/>
      <c r="P15" s="63"/>
      <c r="Q15" s="63"/>
    </row>
    <row r="16" spans="1:23">
      <c r="M16" s="63"/>
      <c r="N16" s="63"/>
      <c r="O16" s="63"/>
      <c r="P16" s="63"/>
      <c r="Q16" s="63"/>
    </row>
    <row r="17" spans="13:17">
      <c r="M17" s="63"/>
      <c r="N17" s="63"/>
      <c r="O17" s="63"/>
      <c r="P17" s="63"/>
      <c r="Q17" s="63"/>
    </row>
    <row r="18" spans="13:17">
      <c r="M18" s="63"/>
      <c r="N18" s="63"/>
      <c r="O18" s="63"/>
      <c r="P18" s="63"/>
      <c r="Q18" s="63"/>
    </row>
    <row r="19" spans="13:17">
      <c r="M19" s="63"/>
      <c r="N19" s="63"/>
      <c r="O19" s="63"/>
      <c r="P19" s="63"/>
      <c r="Q19" s="63"/>
    </row>
  </sheetData>
  <mergeCells count="11">
    <mergeCell ref="V2:W2"/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ageMargins left="0.7" right="0.7" top="0.75" bottom="0.75" header="0.3" footer="0.3"/>
  <pageSetup paperSize="9" scale="5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16" zoomScaleNormal="100" workbookViewId="0">
      <selection activeCell="E31" sqref="E31"/>
    </sheetView>
  </sheetViews>
  <sheetFormatPr defaultRowHeight="15"/>
  <cols>
    <col min="2" max="2" width="23.140625" style="32" customWidth="1"/>
    <col min="3" max="3" width="26.28515625" style="32" customWidth="1"/>
    <col min="4" max="15" width="5.85546875" style="6" customWidth="1"/>
    <col min="16" max="17" width="5.85546875" style="155" customWidth="1"/>
    <col min="18" max="23" width="5.85546875" style="156" customWidth="1"/>
  </cols>
  <sheetData>
    <row r="1" spans="1:23">
      <c r="A1" s="381" t="s">
        <v>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ht="87" customHeight="1">
      <c r="A2" s="157" t="s">
        <v>0</v>
      </c>
      <c r="B2" s="157" t="s">
        <v>4</v>
      </c>
      <c r="C2" s="157" t="s">
        <v>1</v>
      </c>
      <c r="D2" s="380" t="s">
        <v>5</v>
      </c>
      <c r="E2" s="380"/>
      <c r="F2" s="380" t="s">
        <v>2</v>
      </c>
      <c r="G2" s="380"/>
      <c r="H2" s="380" t="s">
        <v>10</v>
      </c>
      <c r="I2" s="380"/>
      <c r="J2" s="380" t="s">
        <v>11</v>
      </c>
      <c r="K2" s="380"/>
      <c r="L2" s="380" t="s">
        <v>9</v>
      </c>
      <c r="M2" s="380"/>
      <c r="N2" s="380" t="s">
        <v>14</v>
      </c>
      <c r="O2" s="380"/>
      <c r="P2" s="380" t="s">
        <v>15</v>
      </c>
      <c r="Q2" s="380"/>
      <c r="R2" s="380" t="s">
        <v>3</v>
      </c>
      <c r="S2" s="380"/>
      <c r="T2" s="380" t="s">
        <v>12</v>
      </c>
      <c r="U2" s="380"/>
      <c r="V2" s="380" t="s">
        <v>13</v>
      </c>
      <c r="W2" s="380"/>
    </row>
    <row r="3" spans="1:23" ht="32.25" customHeight="1">
      <c r="A3" s="158" t="s">
        <v>263</v>
      </c>
      <c r="B3" s="158" t="s">
        <v>263</v>
      </c>
      <c r="C3" s="158" t="s">
        <v>263</v>
      </c>
      <c r="D3" s="138" t="s">
        <v>6</v>
      </c>
      <c r="E3" s="138" t="s">
        <v>7</v>
      </c>
      <c r="F3" s="138" t="s">
        <v>6</v>
      </c>
      <c r="G3" s="138" t="s">
        <v>7</v>
      </c>
      <c r="H3" s="138" t="s">
        <v>6</v>
      </c>
      <c r="I3" s="138" t="s">
        <v>7</v>
      </c>
      <c r="J3" s="138" t="s">
        <v>6</v>
      </c>
      <c r="K3" s="138" t="s">
        <v>7</v>
      </c>
      <c r="L3" s="138" t="s">
        <v>6</v>
      </c>
      <c r="M3" s="138" t="s">
        <v>7</v>
      </c>
      <c r="N3" s="138" t="s">
        <v>6</v>
      </c>
      <c r="O3" s="138" t="s">
        <v>7</v>
      </c>
      <c r="P3" s="138" t="s">
        <v>6</v>
      </c>
      <c r="Q3" s="138" t="s">
        <v>7</v>
      </c>
      <c r="R3" s="138" t="s">
        <v>6</v>
      </c>
      <c r="S3" s="138" t="s">
        <v>7</v>
      </c>
      <c r="T3" s="138" t="s">
        <v>6</v>
      </c>
      <c r="U3" s="138" t="s">
        <v>7</v>
      </c>
      <c r="V3" s="138" t="s">
        <v>6</v>
      </c>
      <c r="W3" s="138" t="s">
        <v>7</v>
      </c>
    </row>
    <row r="4" spans="1:23" ht="39">
      <c r="A4" s="144" t="s">
        <v>264</v>
      </c>
      <c r="B4" s="158" t="s">
        <v>265</v>
      </c>
      <c r="C4" s="158" t="s">
        <v>266</v>
      </c>
      <c r="D4" s="136">
        <v>31</v>
      </c>
      <c r="E4" s="136">
        <v>73</v>
      </c>
      <c r="F4" s="153">
        <v>161</v>
      </c>
      <c r="G4" s="153">
        <v>305</v>
      </c>
      <c r="H4" s="136">
        <v>79</v>
      </c>
      <c r="I4" s="136">
        <v>116</v>
      </c>
      <c r="J4" s="136">
        <v>65</v>
      </c>
      <c r="K4" s="136">
        <v>188</v>
      </c>
      <c r="L4" s="136">
        <v>5</v>
      </c>
      <c r="M4" s="136">
        <v>14</v>
      </c>
      <c r="N4" s="136">
        <v>2</v>
      </c>
      <c r="O4" s="136">
        <v>2</v>
      </c>
      <c r="P4" s="136">
        <v>0</v>
      </c>
      <c r="Q4" s="136">
        <v>1</v>
      </c>
      <c r="R4" s="136">
        <v>1</v>
      </c>
      <c r="S4" s="136">
        <v>1</v>
      </c>
      <c r="T4" s="136">
        <v>28</v>
      </c>
      <c r="U4" s="136">
        <v>58</v>
      </c>
      <c r="V4" s="136">
        <v>12</v>
      </c>
      <c r="W4" s="136">
        <v>33</v>
      </c>
    </row>
    <row r="5" spans="1:23" ht="39">
      <c r="A5" s="144" t="s">
        <v>264</v>
      </c>
      <c r="B5" s="158" t="s">
        <v>265</v>
      </c>
      <c r="C5" s="158" t="s">
        <v>267</v>
      </c>
      <c r="D5" s="136">
        <v>201</v>
      </c>
      <c r="E5" s="136">
        <v>177</v>
      </c>
      <c r="F5" s="153">
        <v>983</v>
      </c>
      <c r="G5" s="153">
        <v>777</v>
      </c>
      <c r="H5" s="136">
        <v>557</v>
      </c>
      <c r="I5" s="136">
        <v>312</v>
      </c>
      <c r="J5" s="136">
        <v>1432</v>
      </c>
      <c r="K5" s="136">
        <v>1289</v>
      </c>
      <c r="L5" s="136">
        <v>9</v>
      </c>
      <c r="M5" s="136">
        <v>17</v>
      </c>
      <c r="N5" s="136">
        <v>13</v>
      </c>
      <c r="O5" s="136">
        <v>5</v>
      </c>
      <c r="P5" s="136">
        <v>4</v>
      </c>
      <c r="Q5" s="136">
        <v>4</v>
      </c>
      <c r="R5" s="136">
        <v>0</v>
      </c>
      <c r="S5" s="136">
        <v>0</v>
      </c>
      <c r="T5" s="136">
        <v>104</v>
      </c>
      <c r="U5" s="136">
        <v>138</v>
      </c>
      <c r="V5" s="136">
        <v>63</v>
      </c>
      <c r="W5" s="136">
        <v>63</v>
      </c>
    </row>
    <row r="6" spans="1:23" ht="39">
      <c r="A6" s="144" t="s">
        <v>264</v>
      </c>
      <c r="B6" s="158" t="s">
        <v>265</v>
      </c>
      <c r="C6" s="158" t="s">
        <v>268</v>
      </c>
      <c r="D6" s="136">
        <v>180</v>
      </c>
      <c r="E6" s="136">
        <v>213</v>
      </c>
      <c r="F6" s="153">
        <v>777</v>
      </c>
      <c r="G6" s="153">
        <v>821</v>
      </c>
      <c r="H6" s="136">
        <v>315</v>
      </c>
      <c r="I6" s="136">
        <v>221</v>
      </c>
      <c r="J6" s="136">
        <v>483</v>
      </c>
      <c r="K6" s="136">
        <v>543</v>
      </c>
      <c r="L6" s="136">
        <v>3</v>
      </c>
      <c r="M6" s="136">
        <v>1</v>
      </c>
      <c r="N6" s="136">
        <v>7</v>
      </c>
      <c r="O6" s="136">
        <v>3</v>
      </c>
      <c r="P6" s="136">
        <v>0</v>
      </c>
      <c r="Q6" s="136">
        <v>0</v>
      </c>
      <c r="R6" s="159">
        <v>0</v>
      </c>
      <c r="S6" s="159">
        <v>0</v>
      </c>
      <c r="T6" s="136">
        <v>33</v>
      </c>
      <c r="U6" s="136">
        <v>49</v>
      </c>
      <c r="V6" s="136">
        <v>14</v>
      </c>
      <c r="W6" s="136">
        <v>13</v>
      </c>
    </row>
    <row r="7" spans="1:23" ht="39">
      <c r="A7" s="144" t="s">
        <v>264</v>
      </c>
      <c r="B7" s="158" t="s">
        <v>265</v>
      </c>
      <c r="C7" s="158" t="s">
        <v>136</v>
      </c>
      <c r="D7" s="136">
        <v>26</v>
      </c>
      <c r="E7" s="136">
        <v>138</v>
      </c>
      <c r="F7" s="153">
        <v>93</v>
      </c>
      <c r="G7" s="153">
        <v>585</v>
      </c>
      <c r="H7" s="136">
        <v>26</v>
      </c>
      <c r="I7" s="136">
        <v>72</v>
      </c>
      <c r="J7" s="136">
        <v>27</v>
      </c>
      <c r="K7" s="136">
        <v>138</v>
      </c>
      <c r="L7" s="136">
        <v>2</v>
      </c>
      <c r="M7" s="136">
        <v>10</v>
      </c>
      <c r="N7" s="136">
        <v>0</v>
      </c>
      <c r="O7" s="136">
        <v>1</v>
      </c>
      <c r="P7" s="136">
        <v>0</v>
      </c>
      <c r="Q7" s="136">
        <v>0</v>
      </c>
      <c r="R7" s="136">
        <v>3</v>
      </c>
      <c r="S7" s="136">
        <v>47</v>
      </c>
      <c r="T7" s="136">
        <v>2</v>
      </c>
      <c r="U7" s="136">
        <v>43</v>
      </c>
      <c r="V7" s="136">
        <v>0</v>
      </c>
      <c r="W7" s="136">
        <v>9</v>
      </c>
    </row>
    <row r="8" spans="1:23" ht="39">
      <c r="A8" s="144" t="s">
        <v>264</v>
      </c>
      <c r="B8" s="158" t="s">
        <v>265</v>
      </c>
      <c r="C8" s="158" t="s">
        <v>156</v>
      </c>
      <c r="D8" s="136">
        <v>132</v>
      </c>
      <c r="E8" s="136">
        <v>90</v>
      </c>
      <c r="F8" s="153">
        <v>591</v>
      </c>
      <c r="G8" s="153">
        <v>416</v>
      </c>
      <c r="H8" s="136">
        <v>283</v>
      </c>
      <c r="I8" s="136">
        <v>155</v>
      </c>
      <c r="J8" s="136">
        <v>1302</v>
      </c>
      <c r="K8" s="136">
        <v>1015</v>
      </c>
      <c r="L8" s="136">
        <v>13</v>
      </c>
      <c r="M8" s="136">
        <v>7</v>
      </c>
      <c r="N8" s="136">
        <v>3</v>
      </c>
      <c r="O8" s="136">
        <v>3</v>
      </c>
      <c r="P8" s="136">
        <v>1</v>
      </c>
      <c r="Q8" s="136">
        <v>0</v>
      </c>
      <c r="R8" s="136">
        <v>1</v>
      </c>
      <c r="S8" s="136">
        <v>3</v>
      </c>
      <c r="T8" s="136">
        <v>71</v>
      </c>
      <c r="U8" s="136">
        <v>70</v>
      </c>
      <c r="V8" s="136">
        <v>37</v>
      </c>
      <c r="W8" s="136">
        <v>29</v>
      </c>
    </row>
    <row r="9" spans="1:23" ht="39">
      <c r="A9" s="144" t="s">
        <v>264</v>
      </c>
      <c r="B9" s="158" t="s">
        <v>265</v>
      </c>
      <c r="C9" s="158" t="s">
        <v>269</v>
      </c>
      <c r="D9" s="136">
        <v>9</v>
      </c>
      <c r="E9" s="136">
        <v>172</v>
      </c>
      <c r="F9" s="153">
        <v>14</v>
      </c>
      <c r="G9" s="153">
        <v>576</v>
      </c>
      <c r="H9" s="136">
        <v>13</v>
      </c>
      <c r="I9" s="136">
        <v>89</v>
      </c>
      <c r="J9" s="136">
        <v>2</v>
      </c>
      <c r="K9" s="136">
        <v>109</v>
      </c>
      <c r="L9" s="136">
        <v>2</v>
      </c>
      <c r="M9" s="136">
        <v>14</v>
      </c>
      <c r="N9" s="136"/>
      <c r="O9" s="136">
        <v>2</v>
      </c>
      <c r="P9" s="136">
        <v>0</v>
      </c>
      <c r="Q9" s="136">
        <v>0</v>
      </c>
      <c r="R9" s="136">
        <v>0</v>
      </c>
      <c r="S9" s="136">
        <v>65</v>
      </c>
      <c r="T9" s="136">
        <v>1</v>
      </c>
      <c r="U9" s="136">
        <v>68</v>
      </c>
      <c r="V9" s="136">
        <v>0</v>
      </c>
      <c r="W9" s="136">
        <v>11</v>
      </c>
    </row>
    <row r="10" spans="1:23" ht="26.25">
      <c r="A10" s="144" t="s">
        <v>264</v>
      </c>
      <c r="B10" s="158" t="s">
        <v>270</v>
      </c>
      <c r="C10" s="158" t="s">
        <v>271</v>
      </c>
      <c r="D10" s="136">
        <v>173</v>
      </c>
      <c r="E10" s="136">
        <v>33</v>
      </c>
      <c r="F10" s="153">
        <v>1162</v>
      </c>
      <c r="G10" s="153">
        <v>175</v>
      </c>
      <c r="H10" s="136">
        <v>873</v>
      </c>
      <c r="I10" s="136">
        <v>100</v>
      </c>
      <c r="J10" s="136">
        <v>4251</v>
      </c>
      <c r="K10" s="136">
        <v>334</v>
      </c>
      <c r="L10" s="136">
        <v>0</v>
      </c>
      <c r="M10" s="136">
        <v>0</v>
      </c>
      <c r="N10" s="136">
        <v>28</v>
      </c>
      <c r="O10" s="136">
        <v>0</v>
      </c>
      <c r="P10" s="136">
        <v>18</v>
      </c>
      <c r="Q10" s="136">
        <v>2</v>
      </c>
      <c r="R10" s="136">
        <v>5</v>
      </c>
      <c r="S10" s="136">
        <v>3</v>
      </c>
      <c r="T10" s="136">
        <v>35</v>
      </c>
      <c r="U10" s="136">
        <v>4</v>
      </c>
      <c r="V10" s="136">
        <v>80</v>
      </c>
      <c r="W10" s="136">
        <v>2</v>
      </c>
    </row>
    <row r="11" spans="1:23">
      <c r="A11" s="144" t="s">
        <v>264</v>
      </c>
      <c r="B11" s="158" t="s">
        <v>270</v>
      </c>
      <c r="C11" s="158" t="s">
        <v>272</v>
      </c>
      <c r="D11" s="136">
        <v>69</v>
      </c>
      <c r="E11" s="136">
        <v>49</v>
      </c>
      <c r="F11" s="153">
        <v>272</v>
      </c>
      <c r="G11" s="153">
        <v>238</v>
      </c>
      <c r="H11" s="136">
        <v>153</v>
      </c>
      <c r="I11" s="136">
        <v>66</v>
      </c>
      <c r="J11" s="136">
        <v>281</v>
      </c>
      <c r="K11" s="136">
        <v>75</v>
      </c>
      <c r="L11" s="136">
        <v>11</v>
      </c>
      <c r="M11" s="136">
        <v>8</v>
      </c>
      <c r="N11" s="136">
        <v>7</v>
      </c>
      <c r="O11" s="136">
        <v>0</v>
      </c>
      <c r="P11" s="136">
        <v>0</v>
      </c>
      <c r="Q11" s="136">
        <v>2</v>
      </c>
      <c r="R11" s="136">
        <v>5</v>
      </c>
      <c r="S11" s="136">
        <v>2</v>
      </c>
      <c r="T11" s="136">
        <v>16</v>
      </c>
      <c r="U11" s="136">
        <v>10</v>
      </c>
      <c r="V11" s="136">
        <v>17</v>
      </c>
      <c r="W11" s="136">
        <v>5</v>
      </c>
    </row>
    <row r="12" spans="1:23" ht="26.25">
      <c r="A12" s="144" t="s">
        <v>264</v>
      </c>
      <c r="B12" s="158" t="s">
        <v>270</v>
      </c>
      <c r="C12" s="158" t="s">
        <v>273</v>
      </c>
      <c r="D12" s="136">
        <v>216</v>
      </c>
      <c r="E12" s="136">
        <v>71</v>
      </c>
      <c r="F12" s="153">
        <v>1036</v>
      </c>
      <c r="G12" s="153">
        <v>340</v>
      </c>
      <c r="H12" s="136">
        <v>451</v>
      </c>
      <c r="I12" s="136">
        <v>155</v>
      </c>
      <c r="J12" s="136">
        <v>1683</v>
      </c>
      <c r="K12" s="136">
        <v>500</v>
      </c>
      <c r="L12" s="136">
        <v>27</v>
      </c>
      <c r="M12" s="136">
        <v>14</v>
      </c>
      <c r="N12" s="136">
        <v>16</v>
      </c>
      <c r="O12" s="136">
        <v>3</v>
      </c>
      <c r="P12" s="136">
        <v>3</v>
      </c>
      <c r="Q12" s="136">
        <v>1</v>
      </c>
      <c r="R12" s="136">
        <v>12</v>
      </c>
      <c r="S12" s="136">
        <v>2</v>
      </c>
      <c r="T12" s="136">
        <v>44</v>
      </c>
      <c r="U12" s="136">
        <v>6</v>
      </c>
      <c r="V12" s="136">
        <v>52</v>
      </c>
      <c r="W12" s="136">
        <v>9</v>
      </c>
    </row>
    <row r="13" spans="1:23" ht="26.25">
      <c r="A13" s="144" t="s">
        <v>264</v>
      </c>
      <c r="B13" s="158" t="s">
        <v>270</v>
      </c>
      <c r="C13" s="158" t="s">
        <v>274</v>
      </c>
      <c r="D13" s="136">
        <v>259</v>
      </c>
      <c r="E13" s="136">
        <v>44</v>
      </c>
      <c r="F13" s="153">
        <v>1155</v>
      </c>
      <c r="G13" s="153">
        <v>188</v>
      </c>
      <c r="H13" s="136">
        <v>709</v>
      </c>
      <c r="I13" s="136">
        <v>101</v>
      </c>
      <c r="J13" s="136">
        <v>1596</v>
      </c>
      <c r="K13" s="136">
        <v>232</v>
      </c>
      <c r="L13" s="136">
        <v>32</v>
      </c>
      <c r="M13" s="136">
        <v>10</v>
      </c>
      <c r="N13" s="136">
        <v>22</v>
      </c>
      <c r="O13" s="136">
        <v>4</v>
      </c>
      <c r="P13" s="136">
        <v>25</v>
      </c>
      <c r="Q13" s="136">
        <v>2</v>
      </c>
      <c r="R13" s="136">
        <v>0</v>
      </c>
      <c r="S13" s="136">
        <v>0</v>
      </c>
      <c r="T13" s="136">
        <v>30</v>
      </c>
      <c r="U13" s="136">
        <v>8</v>
      </c>
      <c r="V13" s="136">
        <v>41</v>
      </c>
      <c r="W13" s="136">
        <v>10</v>
      </c>
    </row>
    <row r="14" spans="1:23" ht="26.25">
      <c r="A14" s="144" t="s">
        <v>264</v>
      </c>
      <c r="B14" s="158" t="s">
        <v>270</v>
      </c>
      <c r="C14" s="158" t="s">
        <v>275</v>
      </c>
      <c r="D14" s="136">
        <v>60</v>
      </c>
      <c r="E14" s="136">
        <v>37</v>
      </c>
      <c r="F14" s="153">
        <v>262</v>
      </c>
      <c r="G14" s="153">
        <v>190</v>
      </c>
      <c r="H14" s="136">
        <v>112</v>
      </c>
      <c r="I14" s="136">
        <v>93</v>
      </c>
      <c r="J14" s="136">
        <v>180</v>
      </c>
      <c r="K14" s="136">
        <v>115</v>
      </c>
      <c r="L14" s="136">
        <v>2</v>
      </c>
      <c r="M14" s="136">
        <v>1</v>
      </c>
      <c r="N14" s="136">
        <v>4</v>
      </c>
      <c r="O14" s="136">
        <v>4</v>
      </c>
      <c r="P14" s="136">
        <v>1</v>
      </c>
      <c r="Q14" s="136">
        <v>5</v>
      </c>
      <c r="R14" s="136">
        <v>0</v>
      </c>
      <c r="S14" s="136">
        <v>2</v>
      </c>
      <c r="T14" s="136">
        <v>8</v>
      </c>
      <c r="U14" s="136">
        <v>8</v>
      </c>
      <c r="V14" s="136">
        <v>12</v>
      </c>
      <c r="W14" s="136">
        <v>17</v>
      </c>
    </row>
    <row r="15" spans="1:23">
      <c r="A15" s="144" t="s">
        <v>264</v>
      </c>
      <c r="B15" s="158" t="s">
        <v>270</v>
      </c>
      <c r="C15" s="158" t="s">
        <v>54</v>
      </c>
      <c r="D15" s="136">
        <v>140</v>
      </c>
      <c r="E15" s="136">
        <v>22</v>
      </c>
      <c r="F15" s="153">
        <v>731</v>
      </c>
      <c r="G15" s="153">
        <v>115</v>
      </c>
      <c r="H15" s="136">
        <v>440</v>
      </c>
      <c r="I15" s="136">
        <v>63</v>
      </c>
      <c r="J15" s="136">
        <v>1789</v>
      </c>
      <c r="K15" s="136">
        <v>173</v>
      </c>
      <c r="L15" s="136">
        <v>12</v>
      </c>
      <c r="M15" s="136">
        <v>0</v>
      </c>
      <c r="N15" s="136">
        <v>16</v>
      </c>
      <c r="O15" s="136">
        <v>2</v>
      </c>
      <c r="P15" s="136">
        <v>13</v>
      </c>
      <c r="Q15" s="136">
        <v>2</v>
      </c>
      <c r="R15" s="136">
        <v>1</v>
      </c>
      <c r="S15" s="136">
        <v>0</v>
      </c>
      <c r="T15" s="136">
        <v>23</v>
      </c>
      <c r="U15" s="136">
        <v>9</v>
      </c>
      <c r="V15" s="136">
        <v>29</v>
      </c>
      <c r="W15" s="136">
        <v>2</v>
      </c>
    </row>
    <row r="16" spans="1:23">
      <c r="A16" s="144" t="s">
        <v>264</v>
      </c>
      <c r="B16" s="158" t="s">
        <v>270</v>
      </c>
      <c r="C16" s="158" t="s">
        <v>276</v>
      </c>
      <c r="D16" s="136">
        <v>84</v>
      </c>
      <c r="E16" s="136">
        <v>20</v>
      </c>
      <c r="F16" s="153">
        <v>390</v>
      </c>
      <c r="G16" s="153">
        <v>104</v>
      </c>
      <c r="H16" s="136">
        <v>161</v>
      </c>
      <c r="I16" s="136">
        <v>24</v>
      </c>
      <c r="J16" s="136">
        <v>318</v>
      </c>
      <c r="K16" s="136">
        <v>57</v>
      </c>
      <c r="L16" s="136">
        <v>11</v>
      </c>
      <c r="M16" s="136">
        <v>3</v>
      </c>
      <c r="N16" s="136">
        <v>7</v>
      </c>
      <c r="O16" s="136">
        <v>0</v>
      </c>
      <c r="P16" s="136">
        <v>3</v>
      </c>
      <c r="Q16" s="136">
        <v>0</v>
      </c>
      <c r="R16" s="136">
        <v>0</v>
      </c>
      <c r="S16" s="136">
        <v>0</v>
      </c>
      <c r="T16" s="136">
        <v>20</v>
      </c>
      <c r="U16" s="136">
        <v>5</v>
      </c>
      <c r="V16" s="136">
        <v>14</v>
      </c>
      <c r="W16" s="136">
        <v>6</v>
      </c>
    </row>
    <row r="17" spans="1:23">
      <c r="A17" s="144" t="s">
        <v>264</v>
      </c>
      <c r="B17" s="158" t="s">
        <v>270</v>
      </c>
      <c r="C17" s="158" t="s">
        <v>55</v>
      </c>
      <c r="D17" s="136">
        <v>100</v>
      </c>
      <c r="E17" s="136">
        <v>84</v>
      </c>
      <c r="F17" s="153">
        <v>551</v>
      </c>
      <c r="G17" s="153">
        <v>429</v>
      </c>
      <c r="H17" s="136">
        <v>292</v>
      </c>
      <c r="I17" s="136">
        <v>255</v>
      </c>
      <c r="J17" s="136">
        <v>943</v>
      </c>
      <c r="K17" s="136">
        <v>507</v>
      </c>
      <c r="L17" s="136">
        <v>5</v>
      </c>
      <c r="M17" s="136">
        <v>7</v>
      </c>
      <c r="N17" s="136">
        <v>18</v>
      </c>
      <c r="O17" s="136">
        <v>1</v>
      </c>
      <c r="P17" s="136">
        <v>7</v>
      </c>
      <c r="Q17" s="136">
        <v>3</v>
      </c>
      <c r="R17" s="136">
        <v>1</v>
      </c>
      <c r="S17" s="136">
        <v>0</v>
      </c>
      <c r="T17" s="136">
        <v>15</v>
      </c>
      <c r="U17" s="136">
        <v>20</v>
      </c>
      <c r="V17" s="136">
        <v>31</v>
      </c>
      <c r="W17" s="136">
        <v>12</v>
      </c>
    </row>
    <row r="18" spans="1:23" ht="26.25">
      <c r="A18" s="144" t="s">
        <v>264</v>
      </c>
      <c r="B18" s="158" t="s">
        <v>277</v>
      </c>
      <c r="C18" s="158" t="s">
        <v>278</v>
      </c>
      <c r="D18" s="136">
        <v>18</v>
      </c>
      <c r="E18" s="136">
        <v>61</v>
      </c>
      <c r="F18" s="153">
        <v>199</v>
      </c>
      <c r="G18" s="153">
        <v>415</v>
      </c>
      <c r="H18" s="136">
        <v>185</v>
      </c>
      <c r="I18" s="136">
        <v>253</v>
      </c>
      <c r="J18" s="136">
        <v>251</v>
      </c>
      <c r="K18" s="136">
        <v>352</v>
      </c>
      <c r="L18" s="136">
        <v>3</v>
      </c>
      <c r="M18" s="136">
        <v>1</v>
      </c>
      <c r="N18" s="136">
        <v>5</v>
      </c>
      <c r="O18" s="136">
        <v>8</v>
      </c>
      <c r="P18" s="136">
        <v>1</v>
      </c>
      <c r="Q18" s="136">
        <v>3</v>
      </c>
      <c r="R18" s="136">
        <v>0</v>
      </c>
      <c r="S18" s="136">
        <v>1</v>
      </c>
      <c r="T18" s="136">
        <v>9</v>
      </c>
      <c r="U18" s="136">
        <v>23</v>
      </c>
      <c r="V18" s="136">
        <v>14</v>
      </c>
      <c r="W18" s="136">
        <v>33</v>
      </c>
    </row>
    <row r="19" spans="1:23" ht="26.25">
      <c r="A19" s="144" t="s">
        <v>264</v>
      </c>
      <c r="B19" s="158" t="s">
        <v>277</v>
      </c>
      <c r="C19" s="158" t="s">
        <v>279</v>
      </c>
      <c r="D19" s="136">
        <v>33</v>
      </c>
      <c r="E19" s="136">
        <v>115</v>
      </c>
      <c r="F19" s="153">
        <v>122</v>
      </c>
      <c r="G19" s="153">
        <v>434</v>
      </c>
      <c r="H19" s="136">
        <v>58</v>
      </c>
      <c r="I19" s="136">
        <v>243</v>
      </c>
      <c r="J19" s="136">
        <v>66</v>
      </c>
      <c r="K19" s="136">
        <v>285</v>
      </c>
      <c r="L19" s="136">
        <v>1</v>
      </c>
      <c r="M19" s="136">
        <v>2</v>
      </c>
      <c r="N19" s="136">
        <v>2</v>
      </c>
      <c r="O19" s="136">
        <v>11</v>
      </c>
      <c r="P19" s="136">
        <v>4</v>
      </c>
      <c r="Q19" s="136">
        <v>12</v>
      </c>
      <c r="R19" s="136">
        <v>0</v>
      </c>
      <c r="S19" s="136">
        <v>0</v>
      </c>
      <c r="T19" s="136">
        <v>7</v>
      </c>
      <c r="U19" s="136">
        <v>21</v>
      </c>
      <c r="V19" s="136">
        <v>4</v>
      </c>
      <c r="W19" s="136">
        <v>25</v>
      </c>
    </row>
    <row r="20" spans="1:23" ht="26.25">
      <c r="A20" s="144" t="s">
        <v>264</v>
      </c>
      <c r="B20" s="158" t="s">
        <v>277</v>
      </c>
      <c r="C20" s="158" t="s">
        <v>280</v>
      </c>
      <c r="D20" s="136">
        <v>7</v>
      </c>
      <c r="E20" s="136">
        <v>20</v>
      </c>
      <c r="F20" s="153">
        <v>67</v>
      </c>
      <c r="G20" s="153">
        <v>178</v>
      </c>
      <c r="H20" s="136">
        <v>39</v>
      </c>
      <c r="I20" s="136">
        <v>134</v>
      </c>
      <c r="J20" s="136">
        <v>49</v>
      </c>
      <c r="K20" s="136">
        <v>123</v>
      </c>
      <c r="L20" s="136">
        <v>0</v>
      </c>
      <c r="M20" s="136">
        <v>2</v>
      </c>
      <c r="N20" s="136">
        <v>3</v>
      </c>
      <c r="O20" s="136">
        <v>6</v>
      </c>
      <c r="P20" s="136">
        <v>0</v>
      </c>
      <c r="Q20" s="136">
        <v>1</v>
      </c>
      <c r="R20" s="136">
        <v>0</v>
      </c>
      <c r="S20" s="136">
        <v>1</v>
      </c>
      <c r="T20" s="136">
        <v>6</v>
      </c>
      <c r="U20" s="136">
        <v>18</v>
      </c>
      <c r="V20" s="136">
        <v>6</v>
      </c>
      <c r="W20" s="136">
        <v>15</v>
      </c>
    </row>
    <row r="21" spans="1:23" ht="26.25">
      <c r="A21" s="144" t="s">
        <v>264</v>
      </c>
      <c r="B21" s="158" t="s">
        <v>277</v>
      </c>
      <c r="C21" s="158" t="s">
        <v>281</v>
      </c>
      <c r="D21" s="136">
        <v>48</v>
      </c>
      <c r="E21" s="136">
        <v>81</v>
      </c>
      <c r="F21" s="153">
        <v>186</v>
      </c>
      <c r="G21" s="153">
        <v>292</v>
      </c>
      <c r="H21" s="136">
        <v>106</v>
      </c>
      <c r="I21" s="136">
        <v>143</v>
      </c>
      <c r="J21" s="136">
        <v>128</v>
      </c>
      <c r="K21" s="136">
        <v>291</v>
      </c>
      <c r="L21" s="136">
        <v>7</v>
      </c>
      <c r="M21" s="136">
        <v>7</v>
      </c>
      <c r="N21" s="136">
        <v>4</v>
      </c>
      <c r="O21" s="136">
        <v>5</v>
      </c>
      <c r="P21" s="136">
        <v>1</v>
      </c>
      <c r="Q21" s="136">
        <v>1</v>
      </c>
      <c r="R21" s="136">
        <v>1</v>
      </c>
      <c r="S21" s="136">
        <v>2</v>
      </c>
      <c r="T21" s="136">
        <v>13</v>
      </c>
      <c r="U21" s="136">
        <v>23</v>
      </c>
      <c r="V21" s="136">
        <v>10</v>
      </c>
      <c r="W21" s="136">
        <v>11</v>
      </c>
    </row>
    <row r="22" spans="1:23" ht="26.25">
      <c r="A22" s="144" t="s">
        <v>264</v>
      </c>
      <c r="B22" s="158" t="s">
        <v>282</v>
      </c>
      <c r="C22" s="158" t="s">
        <v>246</v>
      </c>
      <c r="D22" s="136">
        <v>41</v>
      </c>
      <c r="E22" s="136">
        <v>79</v>
      </c>
      <c r="F22" s="153">
        <v>166</v>
      </c>
      <c r="G22" s="153">
        <v>358</v>
      </c>
      <c r="H22" s="136">
        <v>107</v>
      </c>
      <c r="I22" s="136">
        <v>162</v>
      </c>
      <c r="J22" s="136">
        <v>248</v>
      </c>
      <c r="K22" s="136">
        <v>339</v>
      </c>
      <c r="L22" s="136">
        <v>4</v>
      </c>
      <c r="M22" s="136">
        <v>10</v>
      </c>
      <c r="N22" s="136">
        <v>1</v>
      </c>
      <c r="O22" s="136">
        <v>7</v>
      </c>
      <c r="P22" s="136">
        <v>0</v>
      </c>
      <c r="Q22" s="136">
        <v>0</v>
      </c>
      <c r="R22" s="136">
        <v>5</v>
      </c>
      <c r="S22" s="136">
        <v>2</v>
      </c>
      <c r="T22" s="136">
        <v>13</v>
      </c>
      <c r="U22" s="136">
        <v>45</v>
      </c>
      <c r="V22" s="136">
        <v>17</v>
      </c>
      <c r="W22" s="136">
        <v>26</v>
      </c>
    </row>
    <row r="23" spans="1:23" ht="26.25">
      <c r="A23" s="144" t="s">
        <v>264</v>
      </c>
      <c r="B23" s="158" t="s">
        <v>282</v>
      </c>
      <c r="C23" s="158" t="s">
        <v>283</v>
      </c>
      <c r="D23" s="136">
        <v>29</v>
      </c>
      <c r="E23" s="136">
        <v>49</v>
      </c>
      <c r="F23" s="153">
        <v>136</v>
      </c>
      <c r="G23" s="153">
        <v>214</v>
      </c>
      <c r="H23" s="136">
        <v>138</v>
      </c>
      <c r="I23" s="136">
        <v>165</v>
      </c>
      <c r="J23" s="136">
        <v>232</v>
      </c>
      <c r="K23" s="136">
        <v>212</v>
      </c>
      <c r="L23" s="136">
        <v>8</v>
      </c>
      <c r="M23" s="136">
        <v>6</v>
      </c>
      <c r="N23" s="136">
        <v>2</v>
      </c>
      <c r="O23" s="136">
        <v>7</v>
      </c>
      <c r="P23" s="136">
        <v>0</v>
      </c>
      <c r="Q23" s="136">
        <v>0</v>
      </c>
      <c r="R23" s="136">
        <v>0</v>
      </c>
      <c r="S23" s="136">
        <v>0</v>
      </c>
      <c r="T23" s="136">
        <v>11</v>
      </c>
      <c r="U23" s="136">
        <v>23</v>
      </c>
      <c r="V23" s="136">
        <v>11</v>
      </c>
      <c r="W23" s="136">
        <v>26</v>
      </c>
    </row>
    <row r="24" spans="1:23" ht="26.25">
      <c r="A24" s="144" t="s">
        <v>264</v>
      </c>
      <c r="B24" s="158" t="s">
        <v>284</v>
      </c>
      <c r="C24" s="158" t="s">
        <v>285</v>
      </c>
      <c r="D24" s="136">
        <v>88</v>
      </c>
      <c r="E24" s="136">
        <v>289</v>
      </c>
      <c r="F24" s="153">
        <v>345</v>
      </c>
      <c r="G24" s="153">
        <v>1076</v>
      </c>
      <c r="H24" s="136">
        <v>203</v>
      </c>
      <c r="I24" s="136">
        <v>308</v>
      </c>
      <c r="J24" s="136">
        <v>277</v>
      </c>
      <c r="K24" s="136">
        <v>514</v>
      </c>
      <c r="L24" s="136">
        <v>6</v>
      </c>
      <c r="M24" s="136">
        <v>8</v>
      </c>
      <c r="N24" s="136">
        <v>9</v>
      </c>
      <c r="O24" s="136">
        <v>17</v>
      </c>
      <c r="P24" s="136">
        <v>0</v>
      </c>
      <c r="Q24" s="136">
        <v>2</v>
      </c>
      <c r="R24" s="136">
        <v>5</v>
      </c>
      <c r="S24" s="136">
        <v>22</v>
      </c>
      <c r="T24" s="136">
        <v>60</v>
      </c>
      <c r="U24" s="136">
        <v>173</v>
      </c>
      <c r="V24" s="136">
        <v>17</v>
      </c>
      <c r="W24" s="136">
        <v>36</v>
      </c>
    </row>
    <row r="25" spans="1:23" ht="26.25">
      <c r="A25" s="144" t="s">
        <v>264</v>
      </c>
      <c r="B25" s="158" t="s">
        <v>284</v>
      </c>
      <c r="C25" s="158" t="s">
        <v>286</v>
      </c>
      <c r="D25" s="136">
        <v>26</v>
      </c>
      <c r="E25" s="136">
        <v>129</v>
      </c>
      <c r="F25" s="153">
        <v>83</v>
      </c>
      <c r="G25" s="153">
        <v>449</v>
      </c>
      <c r="H25" s="136">
        <v>13</v>
      </c>
      <c r="I25" s="136">
        <v>26</v>
      </c>
      <c r="J25" s="136">
        <v>40</v>
      </c>
      <c r="K25" s="136">
        <v>78</v>
      </c>
      <c r="L25" s="136">
        <v>1</v>
      </c>
      <c r="M25" s="136">
        <v>5</v>
      </c>
      <c r="N25" s="136">
        <v>2</v>
      </c>
      <c r="O25" s="136">
        <v>4</v>
      </c>
      <c r="P25" s="136">
        <v>0</v>
      </c>
      <c r="Q25" s="136">
        <v>0</v>
      </c>
      <c r="R25" s="136">
        <v>15</v>
      </c>
      <c r="S25" s="136">
        <v>67</v>
      </c>
      <c r="T25" s="136">
        <v>9</v>
      </c>
      <c r="U25" s="136">
        <v>43</v>
      </c>
      <c r="V25" s="136">
        <v>2</v>
      </c>
      <c r="W25" s="136">
        <v>8</v>
      </c>
    </row>
    <row r="26" spans="1:23" ht="26.25">
      <c r="A26" s="144" t="s">
        <v>264</v>
      </c>
      <c r="B26" s="158" t="s">
        <v>284</v>
      </c>
      <c r="C26" s="158" t="s">
        <v>287</v>
      </c>
      <c r="D26" s="136">
        <v>4</v>
      </c>
      <c r="E26" s="136">
        <v>152</v>
      </c>
      <c r="F26" s="153">
        <v>10</v>
      </c>
      <c r="G26" s="153">
        <v>597</v>
      </c>
      <c r="H26" s="136">
        <v>1</v>
      </c>
      <c r="I26" s="136">
        <v>156</v>
      </c>
      <c r="J26" s="136">
        <v>5</v>
      </c>
      <c r="K26" s="136">
        <v>147</v>
      </c>
      <c r="L26" s="136">
        <v>1</v>
      </c>
      <c r="M26" s="136">
        <v>13</v>
      </c>
      <c r="N26" s="136">
        <v>0</v>
      </c>
      <c r="O26" s="136">
        <v>6</v>
      </c>
      <c r="P26" s="136">
        <v>0</v>
      </c>
      <c r="Q26" s="136">
        <v>2</v>
      </c>
      <c r="R26" s="136">
        <v>0</v>
      </c>
      <c r="S26" s="136">
        <v>0</v>
      </c>
      <c r="T26" s="136">
        <v>3</v>
      </c>
      <c r="U26" s="136">
        <v>105</v>
      </c>
      <c r="V26" s="136">
        <v>0</v>
      </c>
      <c r="W26" s="136">
        <v>20</v>
      </c>
    </row>
    <row r="27" spans="1:23" ht="26.25">
      <c r="A27" s="144" t="s">
        <v>264</v>
      </c>
      <c r="B27" s="158" t="s">
        <v>284</v>
      </c>
      <c r="C27" s="158" t="s">
        <v>288</v>
      </c>
      <c r="D27" s="136">
        <v>44</v>
      </c>
      <c r="E27" s="136">
        <v>151</v>
      </c>
      <c r="F27" s="153">
        <v>190</v>
      </c>
      <c r="G27" s="153">
        <v>656</v>
      </c>
      <c r="H27" s="136">
        <v>47</v>
      </c>
      <c r="I27" s="136">
        <v>108</v>
      </c>
      <c r="J27" s="136">
        <v>80</v>
      </c>
      <c r="K27" s="136">
        <v>210</v>
      </c>
      <c r="L27" s="136">
        <v>8</v>
      </c>
      <c r="M27" s="136">
        <v>35</v>
      </c>
      <c r="N27" s="136">
        <v>7</v>
      </c>
      <c r="O27" s="136">
        <v>1</v>
      </c>
      <c r="P27" s="136">
        <v>0</v>
      </c>
      <c r="Q27" s="136">
        <v>3</v>
      </c>
      <c r="R27" s="136">
        <v>12</v>
      </c>
      <c r="S27" s="136">
        <v>40</v>
      </c>
      <c r="T27" s="136">
        <v>14</v>
      </c>
      <c r="U27" s="136">
        <v>91</v>
      </c>
      <c r="V27" s="136">
        <v>5</v>
      </c>
      <c r="W27" s="136">
        <v>15</v>
      </c>
    </row>
    <row r="28" spans="1:23" ht="26.25">
      <c r="A28" s="144" t="s">
        <v>264</v>
      </c>
      <c r="B28" s="158" t="s">
        <v>284</v>
      </c>
      <c r="C28" s="158" t="s">
        <v>289</v>
      </c>
      <c r="D28" s="136">
        <v>105</v>
      </c>
      <c r="E28" s="136">
        <v>81</v>
      </c>
      <c r="F28" s="153">
        <v>404</v>
      </c>
      <c r="G28" s="153">
        <v>341</v>
      </c>
      <c r="H28" s="136">
        <v>92</v>
      </c>
      <c r="I28" s="136">
        <v>68</v>
      </c>
      <c r="J28" s="136">
        <v>109</v>
      </c>
      <c r="K28" s="136">
        <v>99</v>
      </c>
      <c r="L28" s="136">
        <v>18</v>
      </c>
      <c r="M28" s="136">
        <v>15</v>
      </c>
      <c r="N28" s="136">
        <v>5</v>
      </c>
      <c r="O28" s="136">
        <v>1</v>
      </c>
      <c r="P28" s="136">
        <v>4</v>
      </c>
      <c r="Q28" s="136">
        <v>1</v>
      </c>
      <c r="R28" s="136">
        <v>0</v>
      </c>
      <c r="S28" s="136">
        <v>0</v>
      </c>
      <c r="T28" s="136">
        <v>43</v>
      </c>
      <c r="U28" s="136">
        <v>41</v>
      </c>
      <c r="V28" s="136">
        <v>10</v>
      </c>
      <c r="W28" s="136">
        <v>7</v>
      </c>
    </row>
    <row r="29" spans="1:23" ht="26.25">
      <c r="A29" s="144" t="s">
        <v>264</v>
      </c>
      <c r="B29" s="158" t="s">
        <v>290</v>
      </c>
      <c r="C29" s="158" t="s">
        <v>291</v>
      </c>
      <c r="D29" s="136">
        <v>45</v>
      </c>
      <c r="E29" s="136">
        <v>173</v>
      </c>
      <c r="F29" s="153">
        <v>164</v>
      </c>
      <c r="G29" s="153">
        <v>585</v>
      </c>
      <c r="H29" s="136">
        <v>62</v>
      </c>
      <c r="I29" s="136">
        <v>138</v>
      </c>
      <c r="J29" s="136">
        <v>85</v>
      </c>
      <c r="K29" s="136">
        <v>241</v>
      </c>
      <c r="L29" s="136">
        <v>1</v>
      </c>
      <c r="M29" s="136">
        <v>2</v>
      </c>
      <c r="N29" s="136">
        <v>1</v>
      </c>
      <c r="O29" s="136">
        <v>3</v>
      </c>
      <c r="P29" s="136">
        <v>2</v>
      </c>
      <c r="Q29" s="136">
        <v>0</v>
      </c>
      <c r="R29" s="136">
        <v>0</v>
      </c>
      <c r="S29" s="136">
        <v>0</v>
      </c>
      <c r="T29" s="136">
        <v>12</v>
      </c>
      <c r="U29" s="136">
        <v>72</v>
      </c>
      <c r="V29" s="136">
        <v>3</v>
      </c>
      <c r="W29" s="136">
        <v>6</v>
      </c>
    </row>
    <row r="30" spans="1:23">
      <c r="A30" s="144"/>
      <c r="B30" s="144"/>
      <c r="C30" s="158" t="s">
        <v>292</v>
      </c>
      <c r="D30" s="136">
        <f t="shared" ref="D30:W30" si="0">SUM(D4:D29)</f>
        <v>2168</v>
      </c>
      <c r="E30" s="136">
        <f t="shared" si="0"/>
        <v>2603</v>
      </c>
      <c r="F30" s="136">
        <f t="shared" si="0"/>
        <v>10250</v>
      </c>
      <c r="G30" s="136">
        <f t="shared" si="0"/>
        <v>10854</v>
      </c>
      <c r="H30" s="136">
        <f t="shared" si="0"/>
        <v>5515</v>
      </c>
      <c r="I30" s="136">
        <f t="shared" si="0"/>
        <v>3726</v>
      </c>
      <c r="J30" s="136">
        <f t="shared" si="0"/>
        <v>15922</v>
      </c>
      <c r="K30" s="136">
        <f t="shared" si="0"/>
        <v>8166</v>
      </c>
      <c r="L30" s="136">
        <f t="shared" si="0"/>
        <v>192</v>
      </c>
      <c r="M30" s="136">
        <f t="shared" si="0"/>
        <v>212</v>
      </c>
      <c r="N30" s="136">
        <f t="shared" si="0"/>
        <v>184</v>
      </c>
      <c r="O30" s="136">
        <f t="shared" si="0"/>
        <v>106</v>
      </c>
      <c r="P30" s="136">
        <f t="shared" si="0"/>
        <v>87</v>
      </c>
      <c r="Q30" s="136">
        <f t="shared" si="0"/>
        <v>47</v>
      </c>
      <c r="R30" s="136">
        <f t="shared" si="0"/>
        <v>67</v>
      </c>
      <c r="S30" s="136">
        <f t="shared" si="0"/>
        <v>260</v>
      </c>
      <c r="T30" s="136">
        <f t="shared" si="0"/>
        <v>630</v>
      </c>
      <c r="U30" s="136">
        <f t="shared" si="0"/>
        <v>1174</v>
      </c>
      <c r="V30" s="136">
        <f t="shared" si="0"/>
        <v>501</v>
      </c>
      <c r="W30" s="136">
        <f t="shared" si="0"/>
        <v>449</v>
      </c>
    </row>
    <row r="31" spans="1:23">
      <c r="A31" s="144"/>
      <c r="B31" s="144"/>
      <c r="C31" s="144"/>
      <c r="D31" s="136"/>
      <c r="E31" s="136">
        <f>D30+E30</f>
        <v>4771</v>
      </c>
      <c r="F31" s="136"/>
      <c r="G31" s="136">
        <f t="shared" ref="G31:W31" si="1">F30+G30</f>
        <v>21104</v>
      </c>
      <c r="H31" s="136"/>
      <c r="I31" s="136">
        <f t="shared" si="1"/>
        <v>9241</v>
      </c>
      <c r="J31" s="136"/>
      <c r="K31" s="136">
        <f t="shared" si="1"/>
        <v>24088</v>
      </c>
      <c r="L31" s="136"/>
      <c r="M31" s="136">
        <f t="shared" si="1"/>
        <v>404</v>
      </c>
      <c r="N31" s="136"/>
      <c r="O31" s="136">
        <f t="shared" si="1"/>
        <v>290</v>
      </c>
      <c r="P31" s="136"/>
      <c r="Q31" s="136">
        <f t="shared" si="1"/>
        <v>134</v>
      </c>
      <c r="R31" s="136"/>
      <c r="S31" s="136">
        <f t="shared" si="1"/>
        <v>327</v>
      </c>
      <c r="T31" s="136"/>
      <c r="U31" s="136">
        <f t="shared" si="1"/>
        <v>1804</v>
      </c>
      <c r="V31" s="136"/>
      <c r="W31" s="136">
        <f t="shared" si="1"/>
        <v>950</v>
      </c>
    </row>
  </sheetData>
  <mergeCells count="11">
    <mergeCell ref="V2:W2"/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9"/>
  <sheetViews>
    <sheetView workbookViewId="0">
      <selection activeCell="C5" sqref="C5"/>
    </sheetView>
  </sheetViews>
  <sheetFormatPr defaultColWidth="9.140625" defaultRowHeight="12.75"/>
  <cols>
    <col min="1" max="1" width="39.5703125" style="146" customWidth="1"/>
    <col min="2" max="3" width="9.140625" style="146"/>
    <col min="4" max="4" width="6.85546875" style="146" customWidth="1"/>
    <col min="5" max="5" width="5.7109375" style="146" bestFit="1" customWidth="1"/>
    <col min="6" max="6" width="6.85546875" style="146" customWidth="1"/>
    <col min="7" max="7" width="5.85546875" style="146" customWidth="1"/>
    <col min="8" max="8" width="6.85546875" style="146" customWidth="1"/>
    <col min="9" max="9" width="6.140625" style="146" customWidth="1"/>
    <col min="10" max="10" width="6.7109375" style="146" customWidth="1"/>
    <col min="11" max="11" width="5.85546875" style="146" customWidth="1"/>
    <col min="12" max="12" width="6.140625" style="146" customWidth="1"/>
    <col min="13" max="13" width="8.140625" style="146" customWidth="1"/>
    <col min="14" max="14" width="6.42578125" style="146" customWidth="1"/>
    <col min="15" max="17" width="7.7109375" style="146" customWidth="1"/>
    <col min="18" max="18" width="7" style="146" customWidth="1"/>
    <col min="19" max="19" width="6.28515625" style="146" customWidth="1"/>
    <col min="20" max="20" width="6.85546875" style="146" customWidth="1"/>
    <col min="21" max="21" width="6.140625" style="146" customWidth="1"/>
    <col min="22" max="22" width="6.5703125" style="146" customWidth="1"/>
    <col min="23" max="23" width="5.7109375" style="146" customWidth="1"/>
    <col min="24" max="16384" width="9.140625" style="146"/>
  </cols>
  <sheetData>
    <row r="1" spans="1:23">
      <c r="A1" s="320" t="s">
        <v>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87.75" customHeight="1">
      <c r="A2" s="150" t="s">
        <v>0</v>
      </c>
      <c r="B2" s="150" t="s">
        <v>4</v>
      </c>
      <c r="C2" s="150" t="s">
        <v>1</v>
      </c>
      <c r="D2" s="330" t="s">
        <v>5</v>
      </c>
      <c r="E2" s="332"/>
      <c r="F2" s="382" t="s">
        <v>2</v>
      </c>
      <c r="G2" s="332"/>
      <c r="H2" s="330" t="s">
        <v>10</v>
      </c>
      <c r="I2" s="332"/>
      <c r="J2" s="335" t="s">
        <v>11</v>
      </c>
      <c r="K2" s="332"/>
      <c r="L2" s="335" t="s">
        <v>9</v>
      </c>
      <c r="M2" s="335"/>
      <c r="N2" s="335" t="s">
        <v>14</v>
      </c>
      <c r="O2" s="335"/>
      <c r="P2" s="335" t="s">
        <v>15</v>
      </c>
      <c r="Q2" s="335"/>
      <c r="R2" s="330" t="s">
        <v>3</v>
      </c>
      <c r="S2" s="332"/>
      <c r="T2" s="330" t="s">
        <v>12</v>
      </c>
      <c r="U2" s="332"/>
      <c r="V2" s="330" t="s">
        <v>13</v>
      </c>
      <c r="W2" s="331"/>
    </row>
    <row r="3" spans="1:23" ht="25.5">
      <c r="A3" s="73" t="s">
        <v>317</v>
      </c>
      <c r="B3" s="151"/>
      <c r="C3" s="151"/>
      <c r="D3" s="151" t="s">
        <v>6</v>
      </c>
      <c r="E3" s="151" t="s">
        <v>7</v>
      </c>
      <c r="F3" s="151" t="s">
        <v>6</v>
      </c>
      <c r="G3" s="151" t="s">
        <v>7</v>
      </c>
      <c r="H3" s="151" t="s">
        <v>6</v>
      </c>
      <c r="I3" s="151" t="s">
        <v>7</v>
      </c>
      <c r="J3" s="151" t="s">
        <v>6</v>
      </c>
      <c r="K3" s="151" t="s">
        <v>7</v>
      </c>
      <c r="L3" s="151" t="s">
        <v>6</v>
      </c>
      <c r="M3" s="151" t="s">
        <v>7</v>
      </c>
      <c r="N3" s="151" t="s">
        <v>6</v>
      </c>
      <c r="O3" s="151" t="s">
        <v>7</v>
      </c>
      <c r="P3" s="151" t="s">
        <v>6</v>
      </c>
      <c r="Q3" s="151" t="s">
        <v>7</v>
      </c>
      <c r="R3" s="151" t="s">
        <v>6</v>
      </c>
      <c r="S3" s="151" t="s">
        <v>7</v>
      </c>
      <c r="T3" s="151" t="s">
        <v>6</v>
      </c>
      <c r="U3" s="151" t="s">
        <v>7</v>
      </c>
      <c r="V3" s="151" t="s">
        <v>6</v>
      </c>
      <c r="W3" s="151" t="s">
        <v>7</v>
      </c>
    </row>
    <row r="4" spans="1:23">
      <c r="A4" s="134"/>
      <c r="B4" s="134"/>
      <c r="C4" s="148" t="s">
        <v>318</v>
      </c>
      <c r="D4" s="134">
        <v>4</v>
      </c>
      <c r="E4" s="134">
        <v>0</v>
      </c>
      <c r="F4" s="134">
        <v>68</v>
      </c>
      <c r="G4" s="134">
        <v>0</v>
      </c>
      <c r="H4" s="134">
        <v>56</v>
      </c>
      <c r="I4" s="134">
        <v>0</v>
      </c>
      <c r="J4" s="134">
        <v>207</v>
      </c>
      <c r="K4" s="134">
        <v>0</v>
      </c>
      <c r="L4" s="134">
        <v>6</v>
      </c>
      <c r="M4" s="134">
        <v>0</v>
      </c>
      <c r="N4" s="134">
        <v>2</v>
      </c>
      <c r="O4" s="134">
        <v>0</v>
      </c>
      <c r="P4" s="134">
        <v>0</v>
      </c>
      <c r="Q4" s="134">
        <v>0</v>
      </c>
      <c r="R4" s="134">
        <v>8</v>
      </c>
      <c r="S4" s="134">
        <v>0</v>
      </c>
      <c r="T4" s="134">
        <v>2</v>
      </c>
      <c r="U4" s="134">
        <v>0</v>
      </c>
      <c r="V4" s="134">
        <v>0</v>
      </c>
      <c r="W4" s="134">
        <v>0</v>
      </c>
    </row>
    <row r="5" spans="1:23">
      <c r="A5" s="134"/>
      <c r="B5" s="134"/>
      <c r="C5" s="148" t="s">
        <v>319</v>
      </c>
      <c r="D5" s="134">
        <v>0</v>
      </c>
      <c r="E5" s="134">
        <v>0</v>
      </c>
      <c r="F5" s="134">
        <v>13</v>
      </c>
      <c r="G5" s="134">
        <v>9</v>
      </c>
      <c r="H5" s="134">
        <v>25</v>
      </c>
      <c r="I5" s="134">
        <v>65</v>
      </c>
      <c r="J5" s="134">
        <v>101</v>
      </c>
      <c r="K5" s="134">
        <v>253</v>
      </c>
      <c r="L5" s="134">
        <v>1</v>
      </c>
      <c r="M5" s="134">
        <v>3</v>
      </c>
      <c r="N5" s="134">
        <v>0</v>
      </c>
      <c r="O5" s="134">
        <v>0</v>
      </c>
      <c r="P5" s="134">
        <v>0</v>
      </c>
      <c r="Q5" s="134">
        <v>0</v>
      </c>
      <c r="R5" s="134">
        <v>1</v>
      </c>
      <c r="S5" s="134">
        <v>2</v>
      </c>
      <c r="T5" s="134">
        <v>2</v>
      </c>
      <c r="U5" s="134">
        <v>0</v>
      </c>
      <c r="V5" s="134">
        <v>1</v>
      </c>
      <c r="W5" s="134">
        <v>4</v>
      </c>
    </row>
    <row r="6" spans="1:23">
      <c r="A6" s="134"/>
      <c r="B6" s="134"/>
      <c r="C6" s="134" t="s">
        <v>126</v>
      </c>
      <c r="D6" s="134">
        <f>SUM(D4:D5)</f>
        <v>4</v>
      </c>
      <c r="E6" s="134">
        <f t="shared" ref="E6:W6" si="0">SUM(E4:E5)</f>
        <v>0</v>
      </c>
      <c r="F6" s="134">
        <f t="shared" si="0"/>
        <v>81</v>
      </c>
      <c r="G6" s="134">
        <f t="shared" si="0"/>
        <v>9</v>
      </c>
      <c r="H6" s="134">
        <f t="shared" si="0"/>
        <v>81</v>
      </c>
      <c r="I6" s="134">
        <f t="shared" si="0"/>
        <v>65</v>
      </c>
      <c r="J6" s="134">
        <f t="shared" si="0"/>
        <v>308</v>
      </c>
      <c r="K6" s="134">
        <f t="shared" si="0"/>
        <v>253</v>
      </c>
      <c r="L6" s="134">
        <f t="shared" si="0"/>
        <v>7</v>
      </c>
      <c r="M6" s="134">
        <f t="shared" si="0"/>
        <v>3</v>
      </c>
      <c r="N6" s="134">
        <f t="shared" si="0"/>
        <v>2</v>
      </c>
      <c r="O6" s="134">
        <f t="shared" si="0"/>
        <v>0</v>
      </c>
      <c r="P6" s="134">
        <f t="shared" si="0"/>
        <v>0</v>
      </c>
      <c r="Q6" s="134">
        <f t="shared" si="0"/>
        <v>0</v>
      </c>
      <c r="R6" s="134">
        <f t="shared" si="0"/>
        <v>9</v>
      </c>
      <c r="S6" s="134">
        <f t="shared" si="0"/>
        <v>2</v>
      </c>
      <c r="T6" s="134">
        <f t="shared" si="0"/>
        <v>4</v>
      </c>
      <c r="U6" s="134">
        <f t="shared" si="0"/>
        <v>0</v>
      </c>
      <c r="V6" s="134">
        <f t="shared" si="0"/>
        <v>1</v>
      </c>
      <c r="W6" s="134">
        <f t="shared" si="0"/>
        <v>4</v>
      </c>
    </row>
    <row r="7" spans="1:23">
      <c r="M7" s="152"/>
      <c r="N7" s="152"/>
      <c r="O7" s="152"/>
      <c r="P7" s="152"/>
      <c r="Q7" s="152"/>
    </row>
    <row r="8" spans="1:23">
      <c r="M8" s="152"/>
      <c r="N8" s="152"/>
      <c r="O8" s="152"/>
      <c r="P8" s="152"/>
      <c r="Q8" s="152"/>
    </row>
    <row r="9" spans="1:23">
      <c r="M9" s="152"/>
      <c r="N9" s="152"/>
      <c r="O9" s="152"/>
      <c r="P9" s="152"/>
      <c r="Q9" s="152"/>
    </row>
    <row r="10" spans="1:23">
      <c r="M10" s="152"/>
      <c r="N10" s="152"/>
      <c r="O10" s="152"/>
      <c r="P10" s="152"/>
      <c r="Q10" s="152"/>
    </row>
    <row r="11" spans="1:23">
      <c r="M11" s="152"/>
      <c r="N11" s="152"/>
      <c r="O11" s="152"/>
      <c r="P11" s="152"/>
      <c r="Q11" s="152"/>
    </row>
    <row r="12" spans="1:23">
      <c r="M12" s="152"/>
      <c r="N12" s="152"/>
      <c r="O12" s="152"/>
      <c r="P12" s="152"/>
      <c r="Q12" s="152"/>
    </row>
    <row r="13" spans="1:23">
      <c r="M13" s="152"/>
      <c r="N13" s="152"/>
      <c r="O13" s="152"/>
      <c r="P13" s="152"/>
      <c r="Q13" s="152"/>
    </row>
    <row r="14" spans="1:23">
      <c r="M14" s="152"/>
      <c r="N14" s="152"/>
      <c r="O14" s="152"/>
      <c r="P14" s="152"/>
      <c r="Q14" s="152"/>
    </row>
    <row r="15" spans="1:23">
      <c r="M15" s="152"/>
      <c r="N15" s="152"/>
      <c r="O15" s="152"/>
      <c r="P15" s="152"/>
      <c r="Q15" s="152"/>
    </row>
    <row r="16" spans="1:23">
      <c r="M16" s="152"/>
      <c r="N16" s="152"/>
      <c r="O16" s="152"/>
      <c r="P16" s="152"/>
      <c r="Q16" s="152"/>
    </row>
    <row r="17" spans="13:17">
      <c r="M17" s="152"/>
      <c r="N17" s="152"/>
      <c r="O17" s="152"/>
      <c r="P17" s="152"/>
      <c r="Q17" s="152"/>
    </row>
    <row r="18" spans="13:17">
      <c r="M18" s="152"/>
      <c r="N18" s="152"/>
      <c r="O18" s="152"/>
      <c r="P18" s="152"/>
      <c r="Q18" s="152"/>
    </row>
    <row r="19" spans="13:17">
      <c r="M19" s="152"/>
      <c r="N19" s="152"/>
      <c r="O19" s="152"/>
      <c r="P19" s="152"/>
      <c r="Q19" s="152"/>
    </row>
  </sheetData>
  <mergeCells count="11">
    <mergeCell ref="V2:W2"/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"/>
  <sheetViews>
    <sheetView workbookViewId="0">
      <selection activeCell="X1" sqref="X1:X1048576"/>
    </sheetView>
  </sheetViews>
  <sheetFormatPr defaultRowHeight="15"/>
  <cols>
    <col min="1" max="1" width="20.85546875" customWidth="1"/>
    <col min="2" max="2" width="35.5703125" customWidth="1"/>
    <col min="3" max="3" width="54.85546875" customWidth="1"/>
    <col min="4" max="23" width="5.85546875" customWidth="1"/>
  </cols>
  <sheetData>
    <row r="1" spans="1:23">
      <c r="A1" s="320" t="s">
        <v>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87.75" customHeight="1">
      <c r="A2" s="22" t="s">
        <v>0</v>
      </c>
      <c r="B2" s="22" t="s">
        <v>4</v>
      </c>
      <c r="C2" s="22" t="s">
        <v>1</v>
      </c>
      <c r="D2" s="311" t="s">
        <v>5</v>
      </c>
      <c r="E2" s="321"/>
      <c r="F2" s="325" t="s">
        <v>2</v>
      </c>
      <c r="G2" s="321"/>
      <c r="H2" s="311" t="s">
        <v>10</v>
      </c>
      <c r="I2" s="321"/>
      <c r="J2" s="326" t="s">
        <v>11</v>
      </c>
      <c r="K2" s="321"/>
      <c r="L2" s="326" t="s">
        <v>9</v>
      </c>
      <c r="M2" s="327"/>
      <c r="N2" s="326" t="s">
        <v>14</v>
      </c>
      <c r="O2" s="327"/>
      <c r="P2" s="326" t="s">
        <v>15</v>
      </c>
      <c r="Q2" s="327"/>
      <c r="R2" s="311" t="s">
        <v>3</v>
      </c>
      <c r="S2" s="321"/>
      <c r="T2" s="311" t="s">
        <v>12</v>
      </c>
      <c r="U2" s="321"/>
      <c r="V2" s="311" t="s">
        <v>13</v>
      </c>
      <c r="W2" s="319"/>
    </row>
    <row r="3" spans="1:23">
      <c r="A3" s="129"/>
      <c r="B3" s="129"/>
      <c r="C3" s="129"/>
      <c r="D3" s="129" t="s">
        <v>6</v>
      </c>
      <c r="E3" s="129" t="s">
        <v>7</v>
      </c>
      <c r="F3" s="129" t="s">
        <v>6</v>
      </c>
      <c r="G3" s="129" t="s">
        <v>7</v>
      </c>
      <c r="H3" s="129" t="s">
        <v>6</v>
      </c>
      <c r="I3" s="129" t="s">
        <v>7</v>
      </c>
      <c r="J3" s="129" t="s">
        <v>6</v>
      </c>
      <c r="K3" s="129" t="s">
        <v>7</v>
      </c>
      <c r="L3" s="129" t="s">
        <v>6</v>
      </c>
      <c r="M3" s="129" t="s">
        <v>7</v>
      </c>
      <c r="N3" s="129" t="s">
        <v>6</v>
      </c>
      <c r="O3" s="129" t="s">
        <v>7</v>
      </c>
      <c r="P3" s="129" t="s">
        <v>6</v>
      </c>
      <c r="Q3" s="129" t="s">
        <v>7</v>
      </c>
      <c r="R3" s="129" t="s">
        <v>6</v>
      </c>
      <c r="S3" s="129" t="s">
        <v>7</v>
      </c>
      <c r="T3" s="129" t="s">
        <v>6</v>
      </c>
      <c r="U3" s="129" t="s">
        <v>7</v>
      </c>
      <c r="V3" s="129" t="s">
        <v>6</v>
      </c>
      <c r="W3" s="129" t="s">
        <v>7</v>
      </c>
    </row>
    <row r="4" spans="1:23">
      <c r="A4" s="73" t="s">
        <v>296</v>
      </c>
      <c r="B4" s="73" t="s">
        <v>49</v>
      </c>
      <c r="C4" s="73" t="s">
        <v>297</v>
      </c>
      <c r="D4" s="134">
        <v>79</v>
      </c>
      <c r="E4" s="134">
        <v>52</v>
      </c>
      <c r="F4" s="134">
        <v>328</v>
      </c>
      <c r="G4" s="134">
        <v>179</v>
      </c>
      <c r="H4" s="134">
        <v>119</v>
      </c>
      <c r="I4" s="134">
        <v>101</v>
      </c>
      <c r="J4" s="134">
        <v>299</v>
      </c>
      <c r="K4" s="134">
        <v>147</v>
      </c>
      <c r="L4" s="134">
        <v>24</v>
      </c>
      <c r="M4" s="134">
        <v>19</v>
      </c>
      <c r="N4" s="134">
        <v>11</v>
      </c>
      <c r="O4" s="134">
        <v>4</v>
      </c>
      <c r="P4" s="136">
        <v>2</v>
      </c>
      <c r="Q4" s="136">
        <v>0</v>
      </c>
      <c r="R4" s="134">
        <v>1</v>
      </c>
      <c r="S4" s="134">
        <v>1</v>
      </c>
      <c r="T4" s="134">
        <v>9</v>
      </c>
      <c r="U4" s="134">
        <v>18</v>
      </c>
      <c r="V4" s="134">
        <v>8</v>
      </c>
      <c r="W4" s="134">
        <v>9</v>
      </c>
    </row>
    <row r="5" spans="1:23" ht="25.5">
      <c r="A5" s="73" t="s">
        <v>296</v>
      </c>
      <c r="B5" s="73" t="s">
        <v>49</v>
      </c>
      <c r="C5" s="73" t="s">
        <v>298</v>
      </c>
      <c r="D5" s="134">
        <v>118</v>
      </c>
      <c r="E5" s="134">
        <v>25</v>
      </c>
      <c r="F5" s="134">
        <v>438</v>
      </c>
      <c r="G5" s="134">
        <v>105</v>
      </c>
      <c r="H5" s="134">
        <v>227</v>
      </c>
      <c r="I5" s="134">
        <v>49</v>
      </c>
      <c r="J5" s="134">
        <v>400</v>
      </c>
      <c r="K5" s="134">
        <v>65</v>
      </c>
      <c r="L5" s="134">
        <v>97</v>
      </c>
      <c r="M5" s="134">
        <v>23</v>
      </c>
      <c r="N5" s="136">
        <v>11</v>
      </c>
      <c r="O5" s="136">
        <v>0</v>
      </c>
      <c r="P5" s="134">
        <v>1</v>
      </c>
      <c r="Q5" s="134">
        <v>0</v>
      </c>
      <c r="R5" s="134">
        <v>7</v>
      </c>
      <c r="S5" s="134">
        <v>3</v>
      </c>
      <c r="T5" s="134">
        <v>24</v>
      </c>
      <c r="U5" s="134">
        <v>5</v>
      </c>
      <c r="V5" s="134">
        <v>26</v>
      </c>
      <c r="W5" s="134">
        <v>2</v>
      </c>
    </row>
    <row r="6" spans="1:23">
      <c r="A6" s="73" t="s">
        <v>296</v>
      </c>
      <c r="B6" s="73" t="s">
        <v>49</v>
      </c>
      <c r="C6" s="73" t="s">
        <v>299</v>
      </c>
      <c r="D6" s="134">
        <v>46</v>
      </c>
      <c r="E6" s="134">
        <v>43</v>
      </c>
      <c r="F6" s="134">
        <v>286</v>
      </c>
      <c r="G6" s="134">
        <v>218</v>
      </c>
      <c r="H6" s="134">
        <v>112</v>
      </c>
      <c r="I6" s="134">
        <v>114</v>
      </c>
      <c r="J6" s="134">
        <v>173</v>
      </c>
      <c r="K6" s="134">
        <v>173</v>
      </c>
      <c r="L6" s="134">
        <v>8</v>
      </c>
      <c r="M6" s="134">
        <v>4</v>
      </c>
      <c r="N6" s="136">
        <v>4</v>
      </c>
      <c r="O6" s="136">
        <v>2</v>
      </c>
      <c r="P6" s="136">
        <v>0</v>
      </c>
      <c r="Q6" s="136">
        <v>0</v>
      </c>
      <c r="R6" s="134">
        <v>3</v>
      </c>
      <c r="S6" s="134">
        <v>1</v>
      </c>
      <c r="T6" s="134">
        <v>19</v>
      </c>
      <c r="U6" s="134">
        <v>33</v>
      </c>
      <c r="V6" s="134">
        <v>6</v>
      </c>
      <c r="W6" s="134">
        <v>17</v>
      </c>
    </row>
    <row r="7" spans="1:23">
      <c r="A7" s="73" t="s">
        <v>296</v>
      </c>
      <c r="B7" s="73" t="s">
        <v>300</v>
      </c>
      <c r="C7" s="73" t="s">
        <v>147</v>
      </c>
      <c r="D7" s="134">
        <v>48</v>
      </c>
      <c r="E7" s="134">
        <v>160</v>
      </c>
      <c r="F7" s="134">
        <v>177</v>
      </c>
      <c r="G7" s="134">
        <v>600</v>
      </c>
      <c r="H7" s="134">
        <v>26</v>
      </c>
      <c r="I7" s="134">
        <v>69</v>
      </c>
      <c r="J7" s="134">
        <v>127</v>
      </c>
      <c r="K7" s="134">
        <v>248</v>
      </c>
      <c r="L7" s="134">
        <v>47</v>
      </c>
      <c r="M7" s="134">
        <v>111</v>
      </c>
      <c r="N7" s="136">
        <v>6</v>
      </c>
      <c r="O7" s="136">
        <v>10</v>
      </c>
      <c r="P7" s="136">
        <v>1</v>
      </c>
      <c r="Q7" s="136">
        <v>2</v>
      </c>
      <c r="R7" s="134">
        <v>7</v>
      </c>
      <c r="S7" s="134">
        <v>41</v>
      </c>
      <c r="T7" s="134">
        <v>7</v>
      </c>
      <c r="U7" s="134">
        <v>37</v>
      </c>
      <c r="V7" s="134">
        <v>7</v>
      </c>
      <c r="W7" s="134">
        <v>10</v>
      </c>
    </row>
    <row r="8" spans="1:23" ht="25.5">
      <c r="A8" s="73" t="s">
        <v>296</v>
      </c>
      <c r="B8" s="73" t="s">
        <v>300</v>
      </c>
      <c r="C8" s="73" t="s">
        <v>301</v>
      </c>
      <c r="D8" s="134">
        <v>14</v>
      </c>
      <c r="E8" s="134">
        <v>176</v>
      </c>
      <c r="F8" s="134">
        <v>38</v>
      </c>
      <c r="G8" s="134">
        <v>581</v>
      </c>
      <c r="H8" s="134">
        <v>8</v>
      </c>
      <c r="I8" s="134">
        <v>53</v>
      </c>
      <c r="J8" s="134">
        <v>62</v>
      </c>
      <c r="K8" s="134">
        <v>235</v>
      </c>
      <c r="L8" s="134">
        <v>15</v>
      </c>
      <c r="M8" s="134">
        <v>129</v>
      </c>
      <c r="N8" s="136">
        <v>1</v>
      </c>
      <c r="O8" s="136">
        <v>4</v>
      </c>
      <c r="P8" s="136">
        <v>0</v>
      </c>
      <c r="Q8" s="136">
        <v>0</v>
      </c>
      <c r="R8" s="134">
        <v>3</v>
      </c>
      <c r="S8" s="134">
        <v>58</v>
      </c>
      <c r="T8" s="134">
        <v>2</v>
      </c>
      <c r="U8" s="134">
        <v>51</v>
      </c>
      <c r="V8" s="134">
        <v>2</v>
      </c>
      <c r="W8" s="134">
        <v>5</v>
      </c>
    </row>
    <row r="9" spans="1:23">
      <c r="A9" s="73" t="s">
        <v>296</v>
      </c>
      <c r="B9" s="73" t="s">
        <v>300</v>
      </c>
      <c r="C9" s="73" t="s">
        <v>302</v>
      </c>
      <c r="D9" s="134">
        <v>5</v>
      </c>
      <c r="E9" s="134">
        <v>17</v>
      </c>
      <c r="F9" s="134">
        <v>103</v>
      </c>
      <c r="G9" s="134">
        <v>253</v>
      </c>
      <c r="H9" s="134">
        <v>44</v>
      </c>
      <c r="I9" s="134">
        <v>87</v>
      </c>
      <c r="J9" s="134">
        <v>177</v>
      </c>
      <c r="K9" s="134">
        <v>451</v>
      </c>
      <c r="L9" s="134">
        <v>5</v>
      </c>
      <c r="M9" s="134">
        <v>6</v>
      </c>
      <c r="N9" s="136">
        <v>0</v>
      </c>
      <c r="O9" s="136">
        <v>4</v>
      </c>
      <c r="P9" s="136">
        <v>0</v>
      </c>
      <c r="Q9" s="136">
        <v>0</v>
      </c>
      <c r="R9" s="134">
        <v>3</v>
      </c>
      <c r="S9" s="134">
        <v>14</v>
      </c>
      <c r="T9" s="134">
        <v>16</v>
      </c>
      <c r="U9" s="134">
        <v>50</v>
      </c>
      <c r="V9" s="134">
        <v>8</v>
      </c>
      <c r="W9" s="134">
        <v>14</v>
      </c>
    </row>
    <row r="10" spans="1:23">
      <c r="A10" s="73" t="s">
        <v>296</v>
      </c>
      <c r="B10" s="73" t="s">
        <v>303</v>
      </c>
      <c r="C10" s="73" t="s">
        <v>304</v>
      </c>
      <c r="D10" s="134">
        <v>85</v>
      </c>
      <c r="E10" s="134">
        <v>72</v>
      </c>
      <c r="F10" s="134">
        <v>412</v>
      </c>
      <c r="G10" s="134">
        <v>317</v>
      </c>
      <c r="H10" s="134">
        <v>58</v>
      </c>
      <c r="I10" s="134">
        <v>29</v>
      </c>
      <c r="J10" s="134">
        <v>444</v>
      </c>
      <c r="K10" s="134">
        <v>311</v>
      </c>
      <c r="L10" s="134">
        <v>56</v>
      </c>
      <c r="M10" s="134">
        <v>44</v>
      </c>
      <c r="N10" s="136">
        <v>9</v>
      </c>
      <c r="O10" s="136">
        <v>3</v>
      </c>
      <c r="P10" s="134">
        <v>1</v>
      </c>
      <c r="Q10" s="134">
        <v>0</v>
      </c>
      <c r="R10" s="134">
        <v>24</v>
      </c>
      <c r="S10" s="134">
        <v>30</v>
      </c>
      <c r="T10" s="134">
        <v>37</v>
      </c>
      <c r="U10" s="134">
        <v>29</v>
      </c>
      <c r="V10" s="134">
        <v>20</v>
      </c>
      <c r="W10" s="134">
        <v>9</v>
      </c>
    </row>
    <row r="11" spans="1:23">
      <c r="A11" s="73" t="s">
        <v>296</v>
      </c>
      <c r="B11" s="73" t="s">
        <v>303</v>
      </c>
      <c r="C11" s="73" t="s">
        <v>305</v>
      </c>
      <c r="D11" s="134">
        <v>70</v>
      </c>
      <c r="E11" s="134">
        <v>54</v>
      </c>
      <c r="F11" s="134">
        <v>328</v>
      </c>
      <c r="G11" s="134">
        <v>284</v>
      </c>
      <c r="H11" s="134">
        <v>66</v>
      </c>
      <c r="I11" s="134">
        <v>37</v>
      </c>
      <c r="J11" s="134">
        <v>128</v>
      </c>
      <c r="K11" s="134">
        <v>86</v>
      </c>
      <c r="L11" s="134">
        <v>4</v>
      </c>
      <c r="M11" s="134">
        <v>5</v>
      </c>
      <c r="N11" s="136">
        <v>6</v>
      </c>
      <c r="O11" s="136">
        <v>0</v>
      </c>
      <c r="P11" s="134">
        <v>0</v>
      </c>
      <c r="Q11" s="134">
        <v>0</v>
      </c>
      <c r="R11" s="134">
        <v>15</v>
      </c>
      <c r="S11" s="134">
        <v>21</v>
      </c>
      <c r="T11" s="134">
        <v>33</v>
      </c>
      <c r="U11" s="134">
        <v>17</v>
      </c>
      <c r="V11" s="134">
        <v>13</v>
      </c>
      <c r="W11" s="134">
        <v>5</v>
      </c>
    </row>
    <row r="12" spans="1:23">
      <c r="A12" s="73" t="s">
        <v>296</v>
      </c>
      <c r="B12" s="73" t="s">
        <v>303</v>
      </c>
      <c r="C12" s="73" t="s">
        <v>306</v>
      </c>
      <c r="D12" s="134">
        <v>41</v>
      </c>
      <c r="E12" s="134">
        <v>48</v>
      </c>
      <c r="F12" s="134">
        <v>168</v>
      </c>
      <c r="G12" s="134">
        <v>140</v>
      </c>
      <c r="H12" s="134">
        <v>15</v>
      </c>
      <c r="I12" s="134">
        <v>26</v>
      </c>
      <c r="J12" s="134">
        <v>0</v>
      </c>
      <c r="K12" s="134">
        <v>0</v>
      </c>
      <c r="L12" s="134">
        <v>7</v>
      </c>
      <c r="M12" s="134">
        <v>8</v>
      </c>
      <c r="N12" s="134">
        <v>4</v>
      </c>
      <c r="O12" s="134">
        <v>1</v>
      </c>
      <c r="P12" s="136">
        <v>0</v>
      </c>
      <c r="Q12" s="136">
        <v>2</v>
      </c>
      <c r="R12" s="134">
        <v>2</v>
      </c>
      <c r="S12" s="134">
        <v>5</v>
      </c>
      <c r="T12" s="134">
        <v>11</v>
      </c>
      <c r="U12" s="134">
        <v>13</v>
      </c>
      <c r="V12" s="134"/>
      <c r="W12" s="134"/>
    </row>
    <row r="13" spans="1:23">
      <c r="A13" s="73" t="s">
        <v>296</v>
      </c>
      <c r="B13" s="73" t="s">
        <v>29</v>
      </c>
      <c r="C13" s="73" t="s">
        <v>189</v>
      </c>
      <c r="D13" s="134">
        <v>11</v>
      </c>
      <c r="E13" s="134">
        <v>8</v>
      </c>
      <c r="F13" s="134">
        <v>134</v>
      </c>
      <c r="G13" s="134">
        <v>124</v>
      </c>
      <c r="H13" s="134">
        <v>68</v>
      </c>
      <c r="I13" s="134">
        <v>46</v>
      </c>
      <c r="J13" s="134">
        <v>349</v>
      </c>
      <c r="K13" s="134">
        <v>207</v>
      </c>
      <c r="L13" s="134">
        <v>27</v>
      </c>
      <c r="M13" s="134">
        <v>24</v>
      </c>
      <c r="N13" s="134">
        <v>1</v>
      </c>
      <c r="O13" s="134">
        <v>2</v>
      </c>
      <c r="P13" s="136">
        <v>1</v>
      </c>
      <c r="Q13" s="136">
        <v>0</v>
      </c>
      <c r="R13" s="134">
        <v>2</v>
      </c>
      <c r="S13" s="134">
        <v>4</v>
      </c>
      <c r="T13" s="134">
        <v>5</v>
      </c>
      <c r="U13" s="134">
        <v>20</v>
      </c>
      <c r="V13" s="134">
        <v>16</v>
      </c>
      <c r="W13" s="134">
        <v>20</v>
      </c>
    </row>
    <row r="14" spans="1:23" ht="25.5">
      <c r="A14" s="73" t="s">
        <v>296</v>
      </c>
      <c r="B14" s="73" t="s">
        <v>29</v>
      </c>
      <c r="C14" s="73" t="s">
        <v>307</v>
      </c>
      <c r="D14" s="134">
        <v>90</v>
      </c>
      <c r="E14" s="134">
        <v>64</v>
      </c>
      <c r="F14" s="134">
        <v>266</v>
      </c>
      <c r="G14" s="134">
        <v>223</v>
      </c>
      <c r="H14" s="134">
        <v>55</v>
      </c>
      <c r="I14" s="134">
        <v>58</v>
      </c>
      <c r="J14" s="134">
        <v>215</v>
      </c>
      <c r="K14" s="134">
        <v>156</v>
      </c>
      <c r="L14" s="134">
        <v>26</v>
      </c>
      <c r="M14" s="134">
        <v>30</v>
      </c>
      <c r="N14" s="134">
        <v>7</v>
      </c>
      <c r="O14" s="134">
        <v>0</v>
      </c>
      <c r="P14" s="136">
        <v>1</v>
      </c>
      <c r="Q14" s="136">
        <v>1</v>
      </c>
      <c r="R14" s="134">
        <v>1</v>
      </c>
      <c r="S14" s="134"/>
      <c r="T14" s="134">
        <v>8</v>
      </c>
      <c r="U14" s="134">
        <v>23</v>
      </c>
      <c r="V14" s="134">
        <v>11</v>
      </c>
      <c r="W14" s="134">
        <v>11</v>
      </c>
    </row>
    <row r="15" spans="1:23">
      <c r="A15" s="73" t="s">
        <v>296</v>
      </c>
      <c r="B15" s="73" t="s">
        <v>308</v>
      </c>
      <c r="C15" s="73" t="s">
        <v>309</v>
      </c>
      <c r="D15" s="134">
        <v>32</v>
      </c>
      <c r="E15" s="134">
        <v>26</v>
      </c>
      <c r="F15" s="134">
        <v>228</v>
      </c>
      <c r="G15" s="134">
        <v>143</v>
      </c>
      <c r="H15" s="134">
        <v>57</v>
      </c>
      <c r="I15" s="134">
        <v>73</v>
      </c>
      <c r="J15" s="134">
        <v>396</v>
      </c>
      <c r="K15" s="134">
        <v>311</v>
      </c>
      <c r="L15" s="134">
        <v>21</v>
      </c>
      <c r="M15" s="134">
        <v>14</v>
      </c>
      <c r="N15" s="134">
        <v>3</v>
      </c>
      <c r="O15" s="134">
        <v>2</v>
      </c>
      <c r="P15" s="136">
        <v>0</v>
      </c>
      <c r="Q15" s="136">
        <v>1</v>
      </c>
      <c r="R15" s="134">
        <v>1</v>
      </c>
      <c r="S15" s="134"/>
      <c r="T15" s="134">
        <v>17</v>
      </c>
      <c r="U15" s="134">
        <v>18</v>
      </c>
      <c r="V15" s="134">
        <v>14</v>
      </c>
      <c r="W15" s="134">
        <v>12</v>
      </c>
    </row>
    <row r="16" spans="1:23">
      <c r="A16" s="73" t="s">
        <v>296</v>
      </c>
      <c r="B16" s="73" t="s">
        <v>308</v>
      </c>
      <c r="C16" s="73" t="s">
        <v>310</v>
      </c>
      <c r="D16" s="134">
        <v>5</v>
      </c>
      <c r="E16" s="134">
        <v>20</v>
      </c>
      <c r="F16" s="134">
        <v>71</v>
      </c>
      <c r="G16" s="134">
        <v>264</v>
      </c>
      <c r="H16" s="134">
        <v>43</v>
      </c>
      <c r="I16" s="134">
        <v>74</v>
      </c>
      <c r="J16" s="134">
        <v>128</v>
      </c>
      <c r="K16" s="134">
        <v>285</v>
      </c>
      <c r="L16" s="134">
        <v>7</v>
      </c>
      <c r="M16" s="134">
        <v>23</v>
      </c>
      <c r="N16" s="134">
        <v>1</v>
      </c>
      <c r="O16" s="134">
        <v>3</v>
      </c>
      <c r="P16" s="136">
        <v>0</v>
      </c>
      <c r="Q16" s="136">
        <v>0</v>
      </c>
      <c r="R16" s="134">
        <v>3</v>
      </c>
      <c r="S16" s="134">
        <v>15</v>
      </c>
      <c r="T16" s="134">
        <v>10</v>
      </c>
      <c r="U16" s="134">
        <v>25</v>
      </c>
      <c r="V16" s="134">
        <v>3</v>
      </c>
      <c r="W16" s="134">
        <v>10</v>
      </c>
    </row>
    <row r="17" spans="1:23">
      <c r="A17" s="73" t="s">
        <v>296</v>
      </c>
      <c r="B17" s="73" t="s">
        <v>308</v>
      </c>
      <c r="C17" s="73" t="s">
        <v>169</v>
      </c>
      <c r="D17" s="134">
        <v>32</v>
      </c>
      <c r="E17" s="134">
        <v>108</v>
      </c>
      <c r="F17" s="134">
        <v>152</v>
      </c>
      <c r="G17" s="134">
        <v>474</v>
      </c>
      <c r="H17" s="134">
        <v>24</v>
      </c>
      <c r="I17" s="134">
        <v>69</v>
      </c>
      <c r="J17" s="134">
        <v>103</v>
      </c>
      <c r="K17" s="134">
        <v>228</v>
      </c>
      <c r="L17" s="134">
        <v>14</v>
      </c>
      <c r="M17" s="134">
        <v>31</v>
      </c>
      <c r="N17" s="134">
        <v>2</v>
      </c>
      <c r="O17" s="134">
        <v>3</v>
      </c>
      <c r="P17" s="136">
        <v>1</v>
      </c>
      <c r="Q17" s="136">
        <v>0</v>
      </c>
      <c r="R17" s="134">
        <v>12</v>
      </c>
      <c r="S17" s="134">
        <v>33</v>
      </c>
      <c r="T17" s="134">
        <v>19</v>
      </c>
      <c r="U17" s="134">
        <v>63</v>
      </c>
      <c r="V17" s="134">
        <v>1</v>
      </c>
      <c r="W17" s="134">
        <v>6</v>
      </c>
    </row>
    <row r="18" spans="1:23">
      <c r="A18" s="73" t="s">
        <v>296</v>
      </c>
      <c r="B18" s="73" t="s">
        <v>308</v>
      </c>
      <c r="C18" s="73" t="s">
        <v>311</v>
      </c>
      <c r="D18" s="134">
        <v>56</v>
      </c>
      <c r="E18" s="134">
        <v>90</v>
      </c>
      <c r="F18" s="134">
        <v>184</v>
      </c>
      <c r="G18" s="134">
        <v>308</v>
      </c>
      <c r="H18" s="134">
        <v>46</v>
      </c>
      <c r="I18" s="134">
        <v>58</v>
      </c>
      <c r="J18" s="134">
        <v>240</v>
      </c>
      <c r="K18" s="134">
        <v>260</v>
      </c>
      <c r="L18" s="134">
        <v>8</v>
      </c>
      <c r="M18" s="134">
        <v>24</v>
      </c>
      <c r="N18" s="134">
        <v>7</v>
      </c>
      <c r="O18" s="134">
        <v>7</v>
      </c>
      <c r="P18" s="136">
        <v>1</v>
      </c>
      <c r="Q18" s="136">
        <v>0</v>
      </c>
      <c r="R18" s="134">
        <v>6</v>
      </c>
      <c r="S18" s="134">
        <v>17</v>
      </c>
      <c r="T18" s="134">
        <v>23</v>
      </c>
      <c r="U18" s="134">
        <v>42</v>
      </c>
      <c r="V18" s="134">
        <v>7</v>
      </c>
      <c r="W18" s="134">
        <v>6</v>
      </c>
    </row>
    <row r="19" spans="1:23">
      <c r="A19" s="73" t="s">
        <v>296</v>
      </c>
      <c r="B19" s="73" t="s">
        <v>312</v>
      </c>
      <c r="C19" s="73" t="s">
        <v>313</v>
      </c>
      <c r="D19" s="134">
        <v>10</v>
      </c>
      <c r="E19" s="134">
        <v>27</v>
      </c>
      <c r="F19" s="134">
        <v>71</v>
      </c>
      <c r="G19" s="134">
        <v>212</v>
      </c>
      <c r="H19" s="134">
        <v>33</v>
      </c>
      <c r="I19" s="134">
        <v>51</v>
      </c>
      <c r="J19" s="134">
        <v>79</v>
      </c>
      <c r="K19" s="134">
        <v>162</v>
      </c>
      <c r="L19" s="134">
        <v>6</v>
      </c>
      <c r="M19" s="134">
        <v>14</v>
      </c>
      <c r="N19" s="134">
        <v>5</v>
      </c>
      <c r="O19" s="134">
        <v>6</v>
      </c>
      <c r="P19" s="136">
        <v>0</v>
      </c>
      <c r="Q19" s="136">
        <v>0</v>
      </c>
      <c r="R19" s="134">
        <v>2</v>
      </c>
      <c r="S19" s="134">
        <v>4</v>
      </c>
      <c r="T19" s="134">
        <v>10</v>
      </c>
      <c r="U19" s="134">
        <v>32</v>
      </c>
      <c r="V19" s="134">
        <v>15</v>
      </c>
      <c r="W19" s="134">
        <v>8</v>
      </c>
    </row>
    <row r="20" spans="1:23">
      <c r="A20" s="73" t="s">
        <v>296</v>
      </c>
      <c r="B20" s="73" t="s">
        <v>312</v>
      </c>
      <c r="C20" s="73" t="s">
        <v>314</v>
      </c>
      <c r="D20" s="134">
        <v>17</v>
      </c>
      <c r="E20" s="134">
        <v>17</v>
      </c>
      <c r="F20" s="134">
        <v>91</v>
      </c>
      <c r="G20" s="134">
        <v>104</v>
      </c>
      <c r="H20" s="134">
        <v>20</v>
      </c>
      <c r="I20" s="134">
        <v>49</v>
      </c>
      <c r="J20" s="134">
        <v>245</v>
      </c>
      <c r="K20" s="134">
        <v>181</v>
      </c>
      <c r="L20" s="134">
        <v>5</v>
      </c>
      <c r="M20" s="134">
        <v>6</v>
      </c>
      <c r="N20" s="134">
        <v>16</v>
      </c>
      <c r="O20" s="134">
        <v>13</v>
      </c>
      <c r="P20" s="136">
        <v>0</v>
      </c>
      <c r="Q20" s="136">
        <v>1</v>
      </c>
      <c r="R20" s="134">
        <v>1</v>
      </c>
      <c r="S20" s="134">
        <v>6</v>
      </c>
      <c r="T20" s="134">
        <v>2</v>
      </c>
      <c r="U20" s="134">
        <v>14</v>
      </c>
      <c r="V20" s="134">
        <v>6</v>
      </c>
      <c r="W20" s="134">
        <v>9</v>
      </c>
    </row>
    <row r="21" spans="1:23">
      <c r="A21" s="73" t="s">
        <v>296</v>
      </c>
      <c r="B21" s="73" t="s">
        <v>312</v>
      </c>
      <c r="C21" s="73" t="s">
        <v>315</v>
      </c>
      <c r="D21" s="134">
        <v>23</v>
      </c>
      <c r="E21" s="134">
        <v>23</v>
      </c>
      <c r="F21" s="134">
        <v>118</v>
      </c>
      <c r="G21" s="134">
        <v>155</v>
      </c>
      <c r="H21" s="134">
        <v>32</v>
      </c>
      <c r="I21" s="134">
        <v>77</v>
      </c>
      <c r="J21" s="134">
        <v>289</v>
      </c>
      <c r="K21" s="134">
        <v>257</v>
      </c>
      <c r="L21" s="134">
        <v>3</v>
      </c>
      <c r="M21" s="134">
        <v>6</v>
      </c>
      <c r="N21" s="134">
        <v>2</v>
      </c>
      <c r="O21" s="134">
        <v>2</v>
      </c>
      <c r="P21" s="136">
        <v>0</v>
      </c>
      <c r="Q21" s="136">
        <v>1</v>
      </c>
      <c r="R21" s="134">
        <v>1</v>
      </c>
      <c r="S21" s="134">
        <v>3</v>
      </c>
      <c r="T21" s="134">
        <v>4</v>
      </c>
      <c r="U21" s="134">
        <v>23</v>
      </c>
      <c r="V21" s="134">
        <v>15</v>
      </c>
      <c r="W21" s="134">
        <v>16</v>
      </c>
    </row>
    <row r="22" spans="1:23" ht="29.25" customHeight="1">
      <c r="A22" s="146"/>
      <c r="B22" s="146"/>
      <c r="C22" s="147" t="s">
        <v>316</v>
      </c>
      <c r="D22" s="148">
        <v>782</v>
      </c>
      <c r="E22" s="148">
        <v>1030</v>
      </c>
      <c r="F22" s="148">
        <v>3593</v>
      </c>
      <c r="G22" s="148">
        <v>4684</v>
      </c>
      <c r="H22" s="148">
        <v>1053</v>
      </c>
      <c r="I22" s="148">
        <v>1120</v>
      </c>
      <c r="J22" s="148">
        <v>3854</v>
      </c>
      <c r="K22" s="148">
        <v>3763</v>
      </c>
      <c r="L22" s="148">
        <v>380</v>
      </c>
      <c r="M22" s="148">
        <v>521</v>
      </c>
      <c r="N22" s="148">
        <v>96</v>
      </c>
      <c r="O22" s="148">
        <v>66</v>
      </c>
      <c r="P22" s="148">
        <f t="shared" ref="P22:Q22" si="0">P4+P5+P6+P7+P8+P9+P10+P11+P12+P13+P14+P15+P16+P17+P18+P19+P20+P21</f>
        <v>9</v>
      </c>
      <c r="Q22" s="148">
        <f t="shared" si="0"/>
        <v>8</v>
      </c>
      <c r="R22" s="148">
        <v>94</v>
      </c>
      <c r="S22" s="148">
        <v>256</v>
      </c>
      <c r="T22" s="148">
        <v>256</v>
      </c>
      <c r="U22" s="148">
        <v>513</v>
      </c>
      <c r="V22" s="148">
        <v>178</v>
      </c>
      <c r="W22" s="148">
        <v>169</v>
      </c>
    </row>
  </sheetData>
  <mergeCells count="11">
    <mergeCell ref="V2:W2"/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ageMargins left="0.7" right="0.7" top="0.75" bottom="0.75" header="0.3" footer="0.3"/>
  <pageSetup paperSize="9" scale="4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W47"/>
  <sheetViews>
    <sheetView workbookViewId="0">
      <pane xSplit="3" ySplit="3" topLeftCell="D30" activePane="bottomRight" state="frozen"/>
      <selection pane="topRight" activeCell="D1" sqref="D1"/>
      <selection pane="bottomLeft" activeCell="A4" sqref="A4"/>
      <selection pane="bottomRight" activeCell="D41" sqref="D41"/>
    </sheetView>
  </sheetViews>
  <sheetFormatPr defaultColWidth="9.140625" defaultRowHeight="14.25"/>
  <cols>
    <col min="1" max="1" width="20.140625" style="34" customWidth="1"/>
    <col min="2" max="2" width="22" style="34" customWidth="1"/>
    <col min="3" max="3" width="36.28515625" style="34" customWidth="1"/>
    <col min="4" max="9" width="5.85546875" style="34" customWidth="1"/>
    <col min="10" max="10" width="6.42578125" style="34" bestFit="1" customWidth="1"/>
    <col min="11" max="23" width="5.85546875" style="34" customWidth="1"/>
    <col min="24" max="16384" width="9.140625" style="34"/>
  </cols>
  <sheetData>
    <row r="1" spans="1:23" ht="23.25" customHeight="1">
      <c r="A1" s="383" t="s">
        <v>348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5"/>
    </row>
    <row r="2" spans="1:23" ht="111.75" customHeight="1">
      <c r="A2" s="386" t="s">
        <v>0</v>
      </c>
      <c r="B2" s="386" t="s">
        <v>4</v>
      </c>
      <c r="C2" s="386" t="s">
        <v>1</v>
      </c>
      <c r="D2" s="386" t="s">
        <v>5</v>
      </c>
      <c r="E2" s="387"/>
      <c r="F2" s="386" t="s">
        <v>2</v>
      </c>
      <c r="G2" s="387"/>
      <c r="H2" s="386" t="s">
        <v>10</v>
      </c>
      <c r="I2" s="387"/>
      <c r="J2" s="386" t="s">
        <v>11</v>
      </c>
      <c r="K2" s="387"/>
      <c r="L2" s="386" t="s">
        <v>9</v>
      </c>
      <c r="M2" s="387"/>
      <c r="N2" s="386" t="s">
        <v>14</v>
      </c>
      <c r="O2" s="387"/>
      <c r="P2" s="386" t="s">
        <v>15</v>
      </c>
      <c r="Q2" s="387"/>
      <c r="R2" s="386" t="s">
        <v>3</v>
      </c>
      <c r="S2" s="387"/>
      <c r="T2" s="386" t="s">
        <v>12</v>
      </c>
      <c r="U2" s="387"/>
      <c r="V2" s="386" t="s">
        <v>13</v>
      </c>
      <c r="W2" s="387"/>
    </row>
    <row r="3" spans="1:23">
      <c r="A3" s="386"/>
      <c r="B3" s="386"/>
      <c r="C3" s="386"/>
      <c r="D3" s="143" t="s">
        <v>6</v>
      </c>
      <c r="E3" s="143" t="s">
        <v>7</v>
      </c>
      <c r="F3" s="143" t="s">
        <v>6</v>
      </c>
      <c r="G3" s="143" t="s">
        <v>7</v>
      </c>
      <c r="H3" s="143" t="s">
        <v>6</v>
      </c>
      <c r="I3" s="143" t="s">
        <v>7</v>
      </c>
      <c r="J3" s="143" t="s">
        <v>6</v>
      </c>
      <c r="K3" s="143" t="s">
        <v>7</v>
      </c>
      <c r="L3" s="143" t="s">
        <v>6</v>
      </c>
      <c r="M3" s="143" t="s">
        <v>7</v>
      </c>
      <c r="N3" s="143" t="s">
        <v>6</v>
      </c>
      <c r="O3" s="143" t="s">
        <v>7</v>
      </c>
      <c r="P3" s="143" t="s">
        <v>6</v>
      </c>
      <c r="Q3" s="143" t="s">
        <v>7</v>
      </c>
      <c r="R3" s="143" t="s">
        <v>6</v>
      </c>
      <c r="S3" s="143" t="s">
        <v>7</v>
      </c>
      <c r="T3" s="143" t="s">
        <v>6</v>
      </c>
      <c r="U3" s="143" t="s">
        <v>7</v>
      </c>
      <c r="V3" s="143" t="s">
        <v>6</v>
      </c>
      <c r="W3" s="143" t="s">
        <v>7</v>
      </c>
    </row>
    <row r="4" spans="1:23">
      <c r="A4" s="387" t="s">
        <v>349</v>
      </c>
      <c r="B4" s="388" t="s">
        <v>141</v>
      </c>
      <c r="C4" s="140" t="s">
        <v>350</v>
      </c>
      <c r="D4" s="141">
        <v>76</v>
      </c>
      <c r="E4" s="141">
        <v>15</v>
      </c>
      <c r="F4" s="141">
        <v>261</v>
      </c>
      <c r="G4" s="141">
        <v>48</v>
      </c>
      <c r="H4" s="141">
        <v>101</v>
      </c>
      <c r="I4" s="141">
        <v>14</v>
      </c>
      <c r="J4" s="141">
        <v>110</v>
      </c>
      <c r="K4" s="141">
        <v>14</v>
      </c>
      <c r="L4" s="141">
        <v>82</v>
      </c>
      <c r="M4" s="141">
        <v>19</v>
      </c>
      <c r="N4" s="141">
        <v>2</v>
      </c>
      <c r="O4" s="141">
        <v>1</v>
      </c>
      <c r="P4" s="141">
        <v>2</v>
      </c>
      <c r="Q4" s="141">
        <v>0</v>
      </c>
      <c r="R4" s="141">
        <v>2</v>
      </c>
      <c r="S4" s="141">
        <v>1</v>
      </c>
      <c r="T4" s="141">
        <v>20</v>
      </c>
      <c r="U4" s="141">
        <v>2</v>
      </c>
      <c r="V4" s="141">
        <v>7</v>
      </c>
      <c r="W4" s="141">
        <v>1</v>
      </c>
    </row>
    <row r="5" spans="1:23">
      <c r="A5" s="387"/>
      <c r="B5" s="388"/>
      <c r="C5" s="140" t="s">
        <v>351</v>
      </c>
      <c r="D5" s="141">
        <v>11</v>
      </c>
      <c r="E5" s="141">
        <v>3</v>
      </c>
      <c r="F5" s="141">
        <v>258</v>
      </c>
      <c r="G5" s="141">
        <v>80</v>
      </c>
      <c r="H5" s="141">
        <v>0</v>
      </c>
      <c r="I5" s="141">
        <v>0</v>
      </c>
      <c r="J5" s="141">
        <v>0</v>
      </c>
      <c r="K5" s="141">
        <v>0</v>
      </c>
      <c r="L5" s="141">
        <v>4</v>
      </c>
      <c r="M5" s="141">
        <v>0</v>
      </c>
      <c r="N5" s="141">
        <v>2</v>
      </c>
      <c r="O5" s="141">
        <v>0</v>
      </c>
      <c r="P5" s="141">
        <v>1</v>
      </c>
      <c r="Q5" s="141">
        <v>0</v>
      </c>
      <c r="R5" s="141">
        <v>0</v>
      </c>
      <c r="S5" s="141">
        <v>0</v>
      </c>
      <c r="T5" s="141">
        <v>0</v>
      </c>
      <c r="U5" s="141">
        <v>0</v>
      </c>
      <c r="V5" s="141">
        <v>0</v>
      </c>
      <c r="W5" s="141">
        <v>0</v>
      </c>
    </row>
    <row r="6" spans="1:23" ht="25.5">
      <c r="A6" s="387"/>
      <c r="B6" s="388"/>
      <c r="C6" s="140" t="s">
        <v>352</v>
      </c>
      <c r="D6" s="141">
        <v>114</v>
      </c>
      <c r="E6" s="141">
        <v>68</v>
      </c>
      <c r="F6" s="141">
        <v>393</v>
      </c>
      <c r="G6" s="141">
        <v>244</v>
      </c>
      <c r="H6" s="141">
        <v>0</v>
      </c>
      <c r="I6" s="141">
        <v>0</v>
      </c>
      <c r="J6" s="141">
        <v>0</v>
      </c>
      <c r="K6" s="141">
        <v>0</v>
      </c>
      <c r="L6" s="141">
        <v>19</v>
      </c>
      <c r="M6" s="141">
        <v>9</v>
      </c>
      <c r="N6" s="141">
        <v>7</v>
      </c>
      <c r="O6" s="141">
        <v>4</v>
      </c>
      <c r="P6" s="141">
        <v>0</v>
      </c>
      <c r="Q6" s="141">
        <v>1</v>
      </c>
      <c r="R6" s="141">
        <v>0</v>
      </c>
      <c r="S6" s="141">
        <v>0</v>
      </c>
      <c r="T6" s="141">
        <v>0</v>
      </c>
      <c r="U6" s="141">
        <v>0</v>
      </c>
      <c r="V6" s="141">
        <v>0</v>
      </c>
      <c r="W6" s="141">
        <v>0</v>
      </c>
    </row>
    <row r="7" spans="1:23" ht="25.5">
      <c r="A7" s="387"/>
      <c r="B7" s="388"/>
      <c r="C7" s="140" t="s">
        <v>225</v>
      </c>
      <c r="D7" s="141">
        <v>30</v>
      </c>
      <c r="E7" s="141">
        <v>6</v>
      </c>
      <c r="F7" s="141">
        <v>285</v>
      </c>
      <c r="G7" s="141">
        <v>58</v>
      </c>
      <c r="H7" s="141">
        <v>171</v>
      </c>
      <c r="I7" s="141">
        <v>26</v>
      </c>
      <c r="J7" s="141">
        <v>166</v>
      </c>
      <c r="K7" s="141">
        <v>27</v>
      </c>
      <c r="L7" s="141">
        <v>19</v>
      </c>
      <c r="M7" s="141">
        <v>6</v>
      </c>
      <c r="N7" s="141">
        <v>8</v>
      </c>
      <c r="O7" s="141">
        <v>2</v>
      </c>
      <c r="P7" s="141">
        <v>3</v>
      </c>
      <c r="Q7" s="141">
        <v>1</v>
      </c>
      <c r="R7" s="141">
        <v>10</v>
      </c>
      <c r="S7" s="141">
        <v>5</v>
      </c>
      <c r="T7" s="141">
        <v>46</v>
      </c>
      <c r="U7" s="141">
        <v>12</v>
      </c>
      <c r="V7" s="141">
        <v>18</v>
      </c>
      <c r="W7" s="141">
        <v>1</v>
      </c>
    </row>
    <row r="8" spans="1:23">
      <c r="A8" s="387"/>
      <c r="B8" s="388"/>
      <c r="C8" s="140" t="s">
        <v>353</v>
      </c>
      <c r="D8" s="141">
        <v>16</v>
      </c>
      <c r="E8" s="141">
        <v>27</v>
      </c>
      <c r="F8" s="141">
        <v>85</v>
      </c>
      <c r="G8" s="141">
        <v>94</v>
      </c>
      <c r="H8" s="141">
        <v>43</v>
      </c>
      <c r="I8" s="141">
        <v>21</v>
      </c>
      <c r="J8" s="141">
        <v>0</v>
      </c>
      <c r="K8" s="141">
        <v>0</v>
      </c>
      <c r="L8" s="141">
        <v>25</v>
      </c>
      <c r="M8" s="141">
        <v>45</v>
      </c>
      <c r="N8" s="141">
        <v>0</v>
      </c>
      <c r="O8" s="141">
        <v>0</v>
      </c>
      <c r="P8" s="141">
        <v>0</v>
      </c>
      <c r="Q8" s="141">
        <v>0</v>
      </c>
      <c r="R8" s="141">
        <v>2</v>
      </c>
      <c r="S8" s="141">
        <v>3</v>
      </c>
      <c r="T8" s="141">
        <v>29</v>
      </c>
      <c r="U8" s="141">
        <v>20</v>
      </c>
      <c r="V8" s="141">
        <v>0</v>
      </c>
      <c r="W8" s="141">
        <v>0</v>
      </c>
    </row>
    <row r="9" spans="1:23" ht="25.5">
      <c r="A9" s="387"/>
      <c r="B9" s="388" t="s">
        <v>38</v>
      </c>
      <c r="C9" s="140" t="s">
        <v>354</v>
      </c>
      <c r="D9" s="141">
        <v>0</v>
      </c>
      <c r="E9" s="141">
        <v>0</v>
      </c>
      <c r="F9" s="141">
        <v>347</v>
      </c>
      <c r="G9" s="141">
        <v>191</v>
      </c>
      <c r="H9" s="141">
        <v>0</v>
      </c>
      <c r="I9" s="141">
        <v>0</v>
      </c>
      <c r="J9" s="141">
        <v>0</v>
      </c>
      <c r="K9" s="141">
        <v>0</v>
      </c>
      <c r="L9" s="141">
        <v>9</v>
      </c>
      <c r="M9" s="141">
        <v>3</v>
      </c>
      <c r="N9" s="141">
        <v>2</v>
      </c>
      <c r="O9" s="141">
        <v>1</v>
      </c>
      <c r="P9" s="141">
        <v>0</v>
      </c>
      <c r="Q9" s="141">
        <v>0</v>
      </c>
      <c r="R9" s="141">
        <v>13</v>
      </c>
      <c r="S9" s="141">
        <v>19</v>
      </c>
      <c r="T9" s="141">
        <v>9</v>
      </c>
      <c r="U9" s="141">
        <v>9</v>
      </c>
      <c r="V9" s="141">
        <v>0</v>
      </c>
      <c r="W9" s="141">
        <v>0</v>
      </c>
    </row>
    <row r="10" spans="1:23" ht="25.5">
      <c r="A10" s="387"/>
      <c r="B10" s="388"/>
      <c r="C10" s="140" t="s">
        <v>218</v>
      </c>
      <c r="D10" s="141">
        <v>79</v>
      </c>
      <c r="E10" s="141">
        <v>50</v>
      </c>
      <c r="F10" s="141">
        <v>578</v>
      </c>
      <c r="G10" s="141">
        <v>267</v>
      </c>
      <c r="H10" s="141">
        <v>578</v>
      </c>
      <c r="I10" s="141">
        <v>267</v>
      </c>
      <c r="J10" s="141">
        <v>0</v>
      </c>
      <c r="K10" s="141">
        <v>0</v>
      </c>
      <c r="L10" s="141">
        <v>19</v>
      </c>
      <c r="M10" s="141">
        <v>7</v>
      </c>
      <c r="N10" s="141">
        <v>8</v>
      </c>
      <c r="O10" s="141">
        <v>9</v>
      </c>
      <c r="P10" s="141">
        <v>1</v>
      </c>
      <c r="Q10" s="141">
        <v>0</v>
      </c>
      <c r="R10" s="141">
        <v>0</v>
      </c>
      <c r="S10" s="141">
        <v>0</v>
      </c>
      <c r="T10" s="141">
        <v>0</v>
      </c>
      <c r="U10" s="141">
        <v>0</v>
      </c>
      <c r="V10" s="141">
        <v>0</v>
      </c>
      <c r="W10" s="141">
        <v>0</v>
      </c>
    </row>
    <row r="11" spans="1:23">
      <c r="A11" s="387"/>
      <c r="B11" s="388"/>
      <c r="C11" s="140" t="s">
        <v>355</v>
      </c>
      <c r="D11" s="141">
        <v>52</v>
      </c>
      <c r="E11" s="141">
        <v>57</v>
      </c>
      <c r="F11" s="141">
        <v>440</v>
      </c>
      <c r="G11" s="141">
        <v>319</v>
      </c>
      <c r="H11" s="141">
        <v>12</v>
      </c>
      <c r="I11" s="141">
        <v>9</v>
      </c>
      <c r="J11" s="141">
        <v>20</v>
      </c>
      <c r="K11" s="141">
        <v>12</v>
      </c>
      <c r="L11" s="141">
        <v>17</v>
      </c>
      <c r="M11" s="141">
        <v>13</v>
      </c>
      <c r="N11" s="141">
        <v>3</v>
      </c>
      <c r="O11" s="141">
        <v>1</v>
      </c>
      <c r="P11" s="141">
        <v>0</v>
      </c>
      <c r="Q11" s="141">
        <v>0</v>
      </c>
      <c r="R11" s="141">
        <v>4</v>
      </c>
      <c r="S11" s="141">
        <v>4</v>
      </c>
      <c r="T11" s="141">
        <v>0</v>
      </c>
      <c r="U11" s="141">
        <v>0</v>
      </c>
      <c r="V11" s="141">
        <v>60</v>
      </c>
      <c r="W11" s="141">
        <v>69</v>
      </c>
    </row>
    <row r="12" spans="1:23" ht="33" customHeight="1">
      <c r="A12" s="387"/>
      <c r="B12" s="388"/>
      <c r="C12" s="140" t="s">
        <v>356</v>
      </c>
      <c r="D12" s="141">
        <v>67</v>
      </c>
      <c r="E12" s="141">
        <v>81</v>
      </c>
      <c r="F12" s="141">
        <v>373</v>
      </c>
      <c r="G12" s="141">
        <v>372</v>
      </c>
      <c r="H12" s="141">
        <v>0</v>
      </c>
      <c r="I12" s="141">
        <v>0</v>
      </c>
      <c r="J12" s="141">
        <v>0</v>
      </c>
      <c r="K12" s="141">
        <v>0</v>
      </c>
      <c r="L12" s="141">
        <v>12</v>
      </c>
      <c r="M12" s="141">
        <v>19</v>
      </c>
      <c r="N12" s="141">
        <v>5</v>
      </c>
      <c r="O12" s="141">
        <v>2</v>
      </c>
      <c r="P12" s="141">
        <v>0</v>
      </c>
      <c r="Q12" s="141">
        <v>0</v>
      </c>
      <c r="R12" s="141">
        <v>5</v>
      </c>
      <c r="S12" s="141">
        <v>7</v>
      </c>
      <c r="T12" s="141">
        <v>15</v>
      </c>
      <c r="U12" s="141">
        <v>24</v>
      </c>
      <c r="V12" s="141">
        <v>0</v>
      </c>
      <c r="W12" s="141">
        <v>0</v>
      </c>
    </row>
    <row r="13" spans="1:23" ht="25.5">
      <c r="A13" s="387"/>
      <c r="B13" s="388"/>
      <c r="C13" s="140" t="s">
        <v>357</v>
      </c>
      <c r="D13" s="141">
        <v>22</v>
      </c>
      <c r="E13" s="141">
        <v>28</v>
      </c>
      <c r="F13" s="141">
        <v>253</v>
      </c>
      <c r="G13" s="141">
        <v>255</v>
      </c>
      <c r="H13" s="141">
        <v>12</v>
      </c>
      <c r="I13" s="141">
        <v>16</v>
      </c>
      <c r="J13" s="141">
        <v>0</v>
      </c>
      <c r="K13" s="141">
        <v>0</v>
      </c>
      <c r="L13" s="141">
        <v>19</v>
      </c>
      <c r="M13" s="141">
        <v>20</v>
      </c>
      <c r="N13" s="141">
        <v>4</v>
      </c>
      <c r="O13" s="141">
        <v>6</v>
      </c>
      <c r="P13" s="141">
        <v>0</v>
      </c>
      <c r="Q13" s="141">
        <v>0</v>
      </c>
      <c r="R13" s="141">
        <v>2</v>
      </c>
      <c r="S13" s="141">
        <v>6</v>
      </c>
      <c r="T13" s="141">
        <v>27</v>
      </c>
      <c r="U13" s="141">
        <v>14</v>
      </c>
      <c r="V13" s="141">
        <v>0</v>
      </c>
      <c r="W13" s="141">
        <v>0</v>
      </c>
    </row>
    <row r="14" spans="1:23" ht="25.5">
      <c r="A14" s="387"/>
      <c r="B14" s="388"/>
      <c r="C14" s="140" t="s">
        <v>358</v>
      </c>
      <c r="D14" s="141">
        <v>48</v>
      </c>
      <c r="E14" s="141">
        <v>37</v>
      </c>
      <c r="F14" s="141">
        <v>332</v>
      </c>
      <c r="G14" s="141">
        <v>223</v>
      </c>
      <c r="H14" s="141">
        <v>0</v>
      </c>
      <c r="I14" s="141">
        <v>0</v>
      </c>
      <c r="J14" s="141">
        <v>0</v>
      </c>
      <c r="K14" s="141">
        <v>0</v>
      </c>
      <c r="L14" s="141">
        <v>14</v>
      </c>
      <c r="M14" s="141">
        <v>8</v>
      </c>
      <c r="N14" s="141">
        <v>0</v>
      </c>
      <c r="O14" s="141">
        <v>0</v>
      </c>
      <c r="P14" s="141">
        <v>0</v>
      </c>
      <c r="Q14" s="141">
        <v>0</v>
      </c>
      <c r="R14" s="141">
        <v>3</v>
      </c>
      <c r="S14" s="141">
        <v>4</v>
      </c>
      <c r="T14" s="141">
        <v>0</v>
      </c>
      <c r="U14" s="141">
        <v>0</v>
      </c>
      <c r="V14" s="141">
        <v>0</v>
      </c>
      <c r="W14" s="141">
        <v>0</v>
      </c>
    </row>
    <row r="15" spans="1:23">
      <c r="A15" s="387"/>
      <c r="B15" s="388"/>
      <c r="C15" s="140" t="s">
        <v>359</v>
      </c>
      <c r="D15" s="141">
        <v>52</v>
      </c>
      <c r="E15" s="141">
        <v>73</v>
      </c>
      <c r="F15" s="141">
        <v>163</v>
      </c>
      <c r="G15" s="141">
        <v>159</v>
      </c>
      <c r="H15" s="141">
        <v>0</v>
      </c>
      <c r="I15" s="141">
        <v>0</v>
      </c>
      <c r="J15" s="141">
        <v>0</v>
      </c>
      <c r="K15" s="141">
        <v>0</v>
      </c>
      <c r="L15" s="141">
        <v>32</v>
      </c>
      <c r="M15" s="141">
        <v>17</v>
      </c>
      <c r="N15" s="141">
        <v>2</v>
      </c>
      <c r="O15" s="141">
        <v>1</v>
      </c>
      <c r="P15" s="141">
        <v>0</v>
      </c>
      <c r="Q15" s="141">
        <v>0</v>
      </c>
      <c r="R15" s="141">
        <v>1</v>
      </c>
      <c r="S15" s="141">
        <v>0</v>
      </c>
      <c r="T15" s="141">
        <v>0</v>
      </c>
      <c r="U15" s="141">
        <v>0</v>
      </c>
      <c r="V15" s="141">
        <v>0</v>
      </c>
      <c r="W15" s="141">
        <v>0</v>
      </c>
    </row>
    <row r="16" spans="1:23">
      <c r="A16" s="387"/>
      <c r="B16" s="388" t="s">
        <v>360</v>
      </c>
      <c r="C16" s="140" t="s">
        <v>361</v>
      </c>
      <c r="D16" s="141">
        <v>32</v>
      </c>
      <c r="E16" s="141">
        <v>127</v>
      </c>
      <c r="F16" s="141">
        <v>77</v>
      </c>
      <c r="G16" s="141">
        <v>386</v>
      </c>
      <c r="H16" s="141">
        <v>0</v>
      </c>
      <c r="I16" s="141">
        <v>0</v>
      </c>
      <c r="J16" s="141">
        <v>0</v>
      </c>
      <c r="K16" s="141">
        <v>0</v>
      </c>
      <c r="L16" s="141">
        <v>0</v>
      </c>
      <c r="M16" s="141">
        <v>29</v>
      </c>
      <c r="N16" s="141">
        <v>0</v>
      </c>
      <c r="O16" s="141">
        <v>4</v>
      </c>
      <c r="P16" s="141">
        <v>0</v>
      </c>
      <c r="Q16" s="141">
        <v>0</v>
      </c>
      <c r="R16" s="141">
        <v>0</v>
      </c>
      <c r="S16" s="141">
        <v>30</v>
      </c>
      <c r="T16" s="141">
        <v>0</v>
      </c>
      <c r="U16" s="141">
        <v>0</v>
      </c>
      <c r="V16" s="141">
        <v>0</v>
      </c>
      <c r="W16" s="141">
        <v>0</v>
      </c>
    </row>
    <row r="17" spans="1:23">
      <c r="A17" s="387"/>
      <c r="B17" s="388"/>
      <c r="C17" s="140" t="s">
        <v>362</v>
      </c>
      <c r="D17" s="141">
        <v>20</v>
      </c>
      <c r="E17" s="141">
        <v>148</v>
      </c>
      <c r="F17" s="141">
        <v>56</v>
      </c>
      <c r="G17" s="141">
        <v>557</v>
      </c>
      <c r="H17" s="141">
        <v>16</v>
      </c>
      <c r="I17" s="141">
        <v>33</v>
      </c>
      <c r="J17" s="141">
        <v>11</v>
      </c>
      <c r="K17" s="141">
        <v>46</v>
      </c>
      <c r="L17" s="141">
        <v>12</v>
      </c>
      <c r="M17" s="141">
        <v>79</v>
      </c>
      <c r="N17" s="141">
        <v>1</v>
      </c>
      <c r="O17" s="141">
        <v>5</v>
      </c>
      <c r="P17" s="141">
        <v>0</v>
      </c>
      <c r="Q17" s="141">
        <v>0</v>
      </c>
      <c r="R17" s="141">
        <v>3</v>
      </c>
      <c r="S17" s="141">
        <v>94</v>
      </c>
      <c r="T17" s="141">
        <v>2</v>
      </c>
      <c r="U17" s="141">
        <v>12</v>
      </c>
      <c r="V17" s="141">
        <v>3</v>
      </c>
      <c r="W17" s="141">
        <v>5</v>
      </c>
    </row>
    <row r="18" spans="1:23">
      <c r="A18" s="387"/>
      <c r="B18" s="388"/>
      <c r="C18" s="140" t="s">
        <v>363</v>
      </c>
      <c r="D18" s="141">
        <v>54</v>
      </c>
      <c r="E18" s="141">
        <v>128</v>
      </c>
      <c r="F18" s="141">
        <v>170</v>
      </c>
      <c r="G18" s="141">
        <v>397</v>
      </c>
      <c r="H18" s="141">
        <v>15</v>
      </c>
      <c r="I18" s="141">
        <v>16</v>
      </c>
      <c r="J18" s="141">
        <v>23</v>
      </c>
      <c r="K18" s="141">
        <v>43</v>
      </c>
      <c r="L18" s="141">
        <v>24</v>
      </c>
      <c r="M18" s="141">
        <v>65</v>
      </c>
      <c r="N18" s="141">
        <v>0</v>
      </c>
      <c r="O18" s="141">
        <v>0</v>
      </c>
      <c r="P18" s="141">
        <v>1</v>
      </c>
      <c r="Q18" s="141">
        <v>0</v>
      </c>
      <c r="R18" s="141">
        <v>14</v>
      </c>
      <c r="S18" s="141">
        <v>44</v>
      </c>
      <c r="T18" s="141">
        <v>11</v>
      </c>
      <c r="U18" s="141">
        <v>26</v>
      </c>
      <c r="V18" s="141">
        <v>1</v>
      </c>
      <c r="W18" s="141">
        <v>5</v>
      </c>
    </row>
    <row r="19" spans="1:23">
      <c r="A19" s="387"/>
      <c r="B19" s="388"/>
      <c r="C19" s="140" t="s">
        <v>364</v>
      </c>
      <c r="D19" s="141">
        <v>72</v>
      </c>
      <c r="E19" s="141">
        <v>118</v>
      </c>
      <c r="F19" s="141">
        <v>307</v>
      </c>
      <c r="G19" s="141">
        <v>420</v>
      </c>
      <c r="H19" s="141">
        <v>3</v>
      </c>
      <c r="I19" s="141">
        <v>6</v>
      </c>
      <c r="J19" s="141">
        <v>0</v>
      </c>
      <c r="K19" s="141">
        <v>2</v>
      </c>
      <c r="L19" s="141">
        <v>5</v>
      </c>
      <c r="M19" s="141">
        <v>8</v>
      </c>
      <c r="N19" s="141">
        <v>4</v>
      </c>
      <c r="O19" s="141">
        <v>10</v>
      </c>
      <c r="P19" s="141">
        <v>0</v>
      </c>
      <c r="Q19" s="141">
        <v>0</v>
      </c>
      <c r="R19" s="141">
        <v>0</v>
      </c>
      <c r="S19" s="141">
        <v>0</v>
      </c>
      <c r="T19" s="141">
        <v>1</v>
      </c>
      <c r="U19" s="141">
        <v>3</v>
      </c>
      <c r="V19" s="141">
        <v>4</v>
      </c>
      <c r="W19" s="141">
        <v>3</v>
      </c>
    </row>
    <row r="20" spans="1:23">
      <c r="A20" s="387"/>
      <c r="B20" s="140" t="s">
        <v>365</v>
      </c>
      <c r="C20" s="140" t="s">
        <v>215</v>
      </c>
      <c r="D20" s="141">
        <v>28</v>
      </c>
      <c r="E20" s="141">
        <v>28</v>
      </c>
      <c r="F20" s="141">
        <v>219</v>
      </c>
      <c r="G20" s="141">
        <v>283</v>
      </c>
      <c r="H20" s="141">
        <v>4</v>
      </c>
      <c r="I20" s="141">
        <v>2</v>
      </c>
      <c r="J20" s="141">
        <v>0</v>
      </c>
      <c r="K20" s="141">
        <v>1</v>
      </c>
      <c r="L20" s="141">
        <v>13</v>
      </c>
      <c r="M20" s="141">
        <v>18</v>
      </c>
      <c r="N20" s="141">
        <v>2</v>
      </c>
      <c r="O20" s="141">
        <v>3</v>
      </c>
      <c r="P20" s="141">
        <v>0</v>
      </c>
      <c r="Q20" s="141">
        <v>0</v>
      </c>
      <c r="R20" s="141">
        <v>0</v>
      </c>
      <c r="S20" s="141">
        <v>0</v>
      </c>
      <c r="T20" s="141">
        <v>0</v>
      </c>
      <c r="U20" s="141">
        <v>0</v>
      </c>
      <c r="V20" s="141">
        <v>0</v>
      </c>
      <c r="W20" s="141">
        <v>0</v>
      </c>
    </row>
    <row r="21" spans="1:23">
      <c r="A21" s="387"/>
      <c r="B21" s="388" t="s">
        <v>152</v>
      </c>
      <c r="C21" s="140" t="s">
        <v>366</v>
      </c>
      <c r="D21" s="141">
        <v>167</v>
      </c>
      <c r="E21" s="141">
        <v>24</v>
      </c>
      <c r="F21" s="141">
        <v>516</v>
      </c>
      <c r="G21" s="141">
        <v>104</v>
      </c>
      <c r="H21" s="141">
        <v>1</v>
      </c>
      <c r="I21" s="141">
        <v>5</v>
      </c>
      <c r="J21" s="141">
        <v>0</v>
      </c>
      <c r="K21" s="141">
        <v>0</v>
      </c>
      <c r="L21" s="141">
        <v>57</v>
      </c>
      <c r="M21" s="141">
        <v>18</v>
      </c>
      <c r="N21" s="141">
        <v>14</v>
      </c>
      <c r="O21" s="141">
        <v>2</v>
      </c>
      <c r="P21" s="141">
        <v>0</v>
      </c>
      <c r="Q21" s="141">
        <v>0</v>
      </c>
      <c r="R21" s="141">
        <v>0</v>
      </c>
      <c r="S21" s="141">
        <v>0</v>
      </c>
      <c r="T21" s="141">
        <v>8</v>
      </c>
      <c r="U21" s="141">
        <v>1</v>
      </c>
      <c r="V21" s="141">
        <v>7</v>
      </c>
      <c r="W21" s="141">
        <v>1</v>
      </c>
    </row>
    <row r="22" spans="1:23">
      <c r="A22" s="387"/>
      <c r="B22" s="388"/>
      <c r="C22" s="140" t="s">
        <v>367</v>
      </c>
      <c r="D22" s="141">
        <v>16</v>
      </c>
      <c r="E22" s="141">
        <v>19</v>
      </c>
      <c r="F22" s="141">
        <v>67</v>
      </c>
      <c r="G22" s="141">
        <v>96</v>
      </c>
      <c r="H22" s="141">
        <v>0</v>
      </c>
      <c r="I22" s="141">
        <v>0</v>
      </c>
      <c r="J22" s="141">
        <v>0</v>
      </c>
      <c r="K22" s="141">
        <v>0</v>
      </c>
      <c r="L22" s="141">
        <v>4</v>
      </c>
      <c r="M22" s="141">
        <v>2</v>
      </c>
      <c r="N22" s="141">
        <v>0</v>
      </c>
      <c r="O22" s="141">
        <v>1</v>
      </c>
      <c r="P22" s="141">
        <v>0</v>
      </c>
      <c r="Q22" s="141">
        <v>0</v>
      </c>
      <c r="R22" s="141">
        <v>0</v>
      </c>
      <c r="S22" s="141">
        <v>2</v>
      </c>
      <c r="T22" s="141">
        <v>0</v>
      </c>
      <c r="U22" s="141">
        <v>0</v>
      </c>
      <c r="V22" s="141">
        <v>0</v>
      </c>
      <c r="W22" s="141">
        <v>0</v>
      </c>
    </row>
    <row r="23" spans="1:23">
      <c r="A23" s="387"/>
      <c r="B23" s="388" t="s">
        <v>144</v>
      </c>
      <c r="C23" s="140" t="s">
        <v>368</v>
      </c>
      <c r="D23" s="141">
        <v>0</v>
      </c>
      <c r="E23" s="141">
        <v>138</v>
      </c>
      <c r="F23" s="141">
        <v>12</v>
      </c>
      <c r="G23" s="141">
        <v>448</v>
      </c>
      <c r="H23" s="141">
        <v>0</v>
      </c>
      <c r="I23" s="141">
        <v>8</v>
      </c>
      <c r="J23" s="141">
        <v>0</v>
      </c>
      <c r="K23" s="141">
        <v>0</v>
      </c>
      <c r="L23" s="141">
        <v>1</v>
      </c>
      <c r="M23" s="141">
        <v>69</v>
      </c>
      <c r="N23" s="141">
        <v>0</v>
      </c>
      <c r="O23" s="141">
        <v>6</v>
      </c>
      <c r="P23" s="141">
        <v>0</v>
      </c>
      <c r="Q23" s="141">
        <v>0</v>
      </c>
      <c r="R23" s="141">
        <v>0</v>
      </c>
      <c r="S23" s="141">
        <v>14</v>
      </c>
      <c r="T23" s="141">
        <v>2</v>
      </c>
      <c r="U23" s="141">
        <v>140</v>
      </c>
      <c r="V23" s="141">
        <v>0</v>
      </c>
      <c r="W23" s="141">
        <v>0</v>
      </c>
    </row>
    <row r="24" spans="1:23">
      <c r="A24" s="387"/>
      <c r="B24" s="388"/>
      <c r="C24" s="140" t="s">
        <v>369</v>
      </c>
      <c r="D24" s="141">
        <v>22</v>
      </c>
      <c r="E24" s="141">
        <v>75</v>
      </c>
      <c r="F24" s="141">
        <v>69</v>
      </c>
      <c r="G24" s="141">
        <v>266</v>
      </c>
      <c r="H24" s="141">
        <v>0</v>
      </c>
      <c r="I24" s="141">
        <v>0</v>
      </c>
      <c r="J24" s="141">
        <v>0</v>
      </c>
      <c r="K24" s="141">
        <v>0</v>
      </c>
      <c r="L24" s="141">
        <v>9</v>
      </c>
      <c r="M24" s="141">
        <v>24</v>
      </c>
      <c r="N24" s="141">
        <v>2</v>
      </c>
      <c r="O24" s="141">
        <v>2</v>
      </c>
      <c r="P24" s="141">
        <v>0</v>
      </c>
      <c r="Q24" s="141">
        <v>0</v>
      </c>
      <c r="R24" s="141">
        <v>3</v>
      </c>
      <c r="S24" s="141">
        <v>21</v>
      </c>
      <c r="T24" s="141">
        <v>0</v>
      </c>
      <c r="U24" s="141">
        <v>0</v>
      </c>
      <c r="V24" s="141">
        <v>0</v>
      </c>
      <c r="W24" s="141">
        <v>0</v>
      </c>
    </row>
    <row r="25" spans="1:23" ht="25.5">
      <c r="A25" s="387"/>
      <c r="B25" s="140" t="s">
        <v>66</v>
      </c>
      <c r="C25" s="140" t="s">
        <v>370</v>
      </c>
      <c r="D25" s="141">
        <v>19</v>
      </c>
      <c r="E25" s="141">
        <v>70</v>
      </c>
      <c r="F25" s="141">
        <v>97</v>
      </c>
      <c r="G25" s="141">
        <v>278</v>
      </c>
      <c r="H25" s="141">
        <v>40</v>
      </c>
      <c r="I25" s="141">
        <v>37</v>
      </c>
      <c r="J25" s="141">
        <v>47</v>
      </c>
      <c r="K25" s="141">
        <v>36</v>
      </c>
      <c r="L25" s="141">
        <v>7</v>
      </c>
      <c r="M25" s="141">
        <v>7</v>
      </c>
      <c r="N25" s="141">
        <v>0</v>
      </c>
      <c r="O25" s="141">
        <v>4</v>
      </c>
      <c r="P25" s="141">
        <v>0</v>
      </c>
      <c r="Q25" s="141">
        <v>0</v>
      </c>
      <c r="R25" s="141">
        <v>11</v>
      </c>
      <c r="S25" s="141">
        <v>15</v>
      </c>
      <c r="T25" s="141">
        <v>12</v>
      </c>
      <c r="U25" s="141">
        <v>25</v>
      </c>
      <c r="V25" s="141">
        <v>2</v>
      </c>
      <c r="W25" s="141">
        <v>2</v>
      </c>
    </row>
    <row r="26" spans="1:23" ht="51">
      <c r="A26" s="387" t="s">
        <v>371</v>
      </c>
      <c r="B26" s="387"/>
      <c r="C26" s="140" t="s">
        <v>372</v>
      </c>
      <c r="D26" s="141">
        <v>0</v>
      </c>
      <c r="E26" s="141">
        <v>0</v>
      </c>
      <c r="F26" s="141">
        <v>5</v>
      </c>
      <c r="G26" s="141">
        <v>1</v>
      </c>
      <c r="H26" s="141">
        <v>126</v>
      </c>
      <c r="I26" s="141">
        <v>40</v>
      </c>
      <c r="J26" s="141">
        <v>736</v>
      </c>
      <c r="K26" s="141">
        <v>490</v>
      </c>
      <c r="L26" s="141">
        <v>4</v>
      </c>
      <c r="M26" s="141">
        <v>0</v>
      </c>
      <c r="N26" s="141">
        <v>0</v>
      </c>
      <c r="O26" s="141">
        <v>0</v>
      </c>
      <c r="P26" s="141">
        <v>0</v>
      </c>
      <c r="Q26" s="141">
        <v>0</v>
      </c>
      <c r="R26" s="141">
        <v>0</v>
      </c>
      <c r="S26" s="141">
        <v>0</v>
      </c>
      <c r="T26" s="141">
        <v>9</v>
      </c>
      <c r="U26" s="141">
        <v>2</v>
      </c>
      <c r="V26" s="141">
        <v>17</v>
      </c>
      <c r="W26" s="141">
        <v>9</v>
      </c>
    </row>
    <row r="27" spans="1:23" ht="38.25">
      <c r="A27" s="387"/>
      <c r="B27" s="387"/>
      <c r="C27" s="140" t="s">
        <v>373</v>
      </c>
      <c r="D27" s="141">
        <v>0</v>
      </c>
      <c r="E27" s="141">
        <v>0</v>
      </c>
      <c r="F27" s="141">
        <v>5</v>
      </c>
      <c r="G27" s="141">
        <v>4</v>
      </c>
      <c r="H27" s="141">
        <v>179</v>
      </c>
      <c r="I27" s="141">
        <v>72</v>
      </c>
      <c r="J27" s="141">
        <v>818</v>
      </c>
      <c r="K27" s="141">
        <v>310</v>
      </c>
      <c r="L27" s="141">
        <v>2</v>
      </c>
      <c r="M27" s="141">
        <v>3</v>
      </c>
      <c r="N27" s="141">
        <v>2</v>
      </c>
      <c r="O27" s="141">
        <v>0</v>
      </c>
      <c r="P27" s="141">
        <v>0</v>
      </c>
      <c r="Q27" s="141">
        <v>0</v>
      </c>
      <c r="R27" s="141">
        <v>1</v>
      </c>
      <c r="S27" s="141">
        <v>3</v>
      </c>
      <c r="T27" s="141">
        <v>2</v>
      </c>
      <c r="U27" s="141">
        <v>5</v>
      </c>
      <c r="V27" s="141">
        <v>17</v>
      </c>
      <c r="W27" s="141">
        <v>7</v>
      </c>
    </row>
    <row r="28" spans="1:23">
      <c r="A28" s="387"/>
      <c r="B28" s="387"/>
      <c r="C28" s="140" t="s">
        <v>374</v>
      </c>
      <c r="D28" s="141">
        <v>0</v>
      </c>
      <c r="E28" s="141">
        <v>0</v>
      </c>
      <c r="F28" s="141">
        <v>0</v>
      </c>
      <c r="G28" s="141">
        <v>0</v>
      </c>
      <c r="H28" s="141">
        <v>77</v>
      </c>
      <c r="I28" s="141">
        <v>45</v>
      </c>
      <c r="J28" s="141">
        <v>595</v>
      </c>
      <c r="K28" s="141">
        <v>622</v>
      </c>
      <c r="L28" s="141">
        <v>0</v>
      </c>
      <c r="M28" s="141">
        <v>2</v>
      </c>
      <c r="N28" s="141">
        <v>0</v>
      </c>
      <c r="O28" s="141">
        <v>0</v>
      </c>
      <c r="P28" s="141">
        <v>0</v>
      </c>
      <c r="Q28" s="141">
        <v>0</v>
      </c>
      <c r="R28" s="141">
        <v>0</v>
      </c>
      <c r="S28" s="141">
        <v>0</v>
      </c>
      <c r="T28" s="141">
        <v>4</v>
      </c>
      <c r="U28" s="141">
        <v>10</v>
      </c>
      <c r="V28" s="141">
        <v>2</v>
      </c>
      <c r="W28" s="141">
        <v>1</v>
      </c>
    </row>
    <row r="29" spans="1:23" ht="38.25">
      <c r="A29" s="387"/>
      <c r="B29" s="387"/>
      <c r="C29" s="140" t="s">
        <v>375</v>
      </c>
      <c r="D29" s="141">
        <v>0</v>
      </c>
      <c r="E29" s="141">
        <v>0</v>
      </c>
      <c r="F29" s="141">
        <v>4</v>
      </c>
      <c r="G29" s="141">
        <v>0</v>
      </c>
      <c r="H29" s="141">
        <v>149</v>
      </c>
      <c r="I29" s="141">
        <v>24</v>
      </c>
      <c r="J29" s="141">
        <v>954</v>
      </c>
      <c r="K29" s="141">
        <v>144</v>
      </c>
      <c r="L29" s="141">
        <v>3</v>
      </c>
      <c r="M29" s="141">
        <v>4</v>
      </c>
      <c r="N29" s="141">
        <v>2</v>
      </c>
      <c r="O29" s="141">
        <v>0</v>
      </c>
      <c r="P29" s="141">
        <v>0</v>
      </c>
      <c r="Q29" s="141">
        <v>0</v>
      </c>
      <c r="R29" s="141">
        <v>0</v>
      </c>
      <c r="S29" s="141">
        <v>0</v>
      </c>
      <c r="T29" s="141">
        <v>25</v>
      </c>
      <c r="U29" s="141">
        <v>4</v>
      </c>
      <c r="V29" s="141">
        <v>55</v>
      </c>
      <c r="W29" s="141">
        <v>7</v>
      </c>
    </row>
    <row r="30" spans="1:23" ht="42" customHeight="1">
      <c r="A30" s="387"/>
      <c r="B30" s="387"/>
      <c r="C30" s="140" t="s">
        <v>376</v>
      </c>
      <c r="D30" s="141">
        <v>0</v>
      </c>
      <c r="E30" s="141">
        <v>0</v>
      </c>
      <c r="F30" s="141">
        <v>10</v>
      </c>
      <c r="G30" s="141">
        <v>4</v>
      </c>
      <c r="H30" s="141">
        <v>99</v>
      </c>
      <c r="I30" s="141">
        <v>30</v>
      </c>
      <c r="J30" s="141">
        <v>1026</v>
      </c>
      <c r="K30" s="141">
        <v>536</v>
      </c>
      <c r="L30" s="141">
        <v>1</v>
      </c>
      <c r="M30" s="141">
        <v>3</v>
      </c>
      <c r="N30" s="141">
        <v>0</v>
      </c>
      <c r="O30" s="141">
        <v>0</v>
      </c>
      <c r="P30" s="141">
        <v>0</v>
      </c>
      <c r="Q30" s="141">
        <v>0</v>
      </c>
      <c r="R30" s="141">
        <v>0</v>
      </c>
      <c r="S30" s="141">
        <v>0</v>
      </c>
      <c r="T30" s="141">
        <v>15</v>
      </c>
      <c r="U30" s="141">
        <v>18</v>
      </c>
      <c r="V30" s="141">
        <v>38</v>
      </c>
      <c r="W30" s="141">
        <v>17</v>
      </c>
    </row>
    <row r="31" spans="1:23">
      <c r="A31" s="387"/>
      <c r="B31" s="387"/>
      <c r="C31" s="140" t="s">
        <v>377</v>
      </c>
      <c r="D31" s="141">
        <v>0</v>
      </c>
      <c r="E31" s="141">
        <v>0</v>
      </c>
      <c r="F31" s="141">
        <v>0</v>
      </c>
      <c r="G31" s="141">
        <v>0</v>
      </c>
      <c r="H31" s="141">
        <v>167</v>
      </c>
      <c r="I31" s="141">
        <v>39</v>
      </c>
      <c r="J31" s="141">
        <v>701</v>
      </c>
      <c r="K31" s="141">
        <v>269</v>
      </c>
      <c r="L31" s="141">
        <v>3</v>
      </c>
      <c r="M31" s="141">
        <v>0</v>
      </c>
      <c r="N31" s="141">
        <v>0</v>
      </c>
      <c r="O31" s="141">
        <v>1</v>
      </c>
      <c r="P31" s="141">
        <v>1</v>
      </c>
      <c r="Q31" s="141">
        <v>0</v>
      </c>
      <c r="R31" s="141">
        <v>0</v>
      </c>
      <c r="S31" s="141">
        <v>0</v>
      </c>
      <c r="T31" s="141">
        <v>6</v>
      </c>
      <c r="U31" s="141">
        <v>3</v>
      </c>
      <c r="V31" s="141">
        <v>41</v>
      </c>
      <c r="W31" s="141">
        <v>10</v>
      </c>
    </row>
    <row r="32" spans="1:23" ht="25.5">
      <c r="A32" s="387"/>
      <c r="B32" s="387"/>
      <c r="C32" s="140" t="s">
        <v>378</v>
      </c>
      <c r="D32" s="141">
        <v>0</v>
      </c>
      <c r="E32" s="141">
        <v>0</v>
      </c>
      <c r="F32" s="141">
        <v>5</v>
      </c>
      <c r="G32" s="141">
        <v>8</v>
      </c>
      <c r="H32" s="141">
        <v>139</v>
      </c>
      <c r="I32" s="141">
        <v>128</v>
      </c>
      <c r="J32" s="141">
        <v>625</v>
      </c>
      <c r="K32" s="141">
        <v>1325</v>
      </c>
      <c r="L32" s="141">
        <v>6</v>
      </c>
      <c r="M32" s="141">
        <v>14</v>
      </c>
      <c r="N32" s="141">
        <v>1</v>
      </c>
      <c r="O32" s="141">
        <v>1</v>
      </c>
      <c r="P32" s="141">
        <v>0</v>
      </c>
      <c r="Q32" s="141">
        <v>0</v>
      </c>
      <c r="R32" s="141">
        <v>0</v>
      </c>
      <c r="S32" s="141">
        <v>0</v>
      </c>
      <c r="T32" s="141">
        <v>15</v>
      </c>
      <c r="U32" s="141">
        <v>34</v>
      </c>
      <c r="V32" s="141">
        <v>23</v>
      </c>
      <c r="W32" s="141">
        <v>42</v>
      </c>
    </row>
    <row r="33" spans="1:23">
      <c r="A33" s="387"/>
      <c r="B33" s="387"/>
      <c r="C33" s="140" t="s">
        <v>379</v>
      </c>
      <c r="D33" s="141">
        <v>0</v>
      </c>
      <c r="E33" s="141">
        <v>0</v>
      </c>
      <c r="F33" s="141">
        <v>2</v>
      </c>
      <c r="G33" s="141">
        <v>1</v>
      </c>
      <c r="H33" s="141">
        <v>119</v>
      </c>
      <c r="I33" s="141">
        <v>129</v>
      </c>
      <c r="J33" s="141">
        <v>1670</v>
      </c>
      <c r="K33" s="141">
        <v>1318</v>
      </c>
      <c r="L33" s="141">
        <v>10</v>
      </c>
      <c r="M33" s="141">
        <v>8</v>
      </c>
      <c r="N33" s="141">
        <v>0</v>
      </c>
      <c r="O33" s="141">
        <v>0</v>
      </c>
      <c r="P33" s="141">
        <v>0</v>
      </c>
      <c r="Q33" s="141">
        <v>0</v>
      </c>
      <c r="R33" s="141">
        <v>0</v>
      </c>
      <c r="S33" s="141">
        <v>0</v>
      </c>
      <c r="T33" s="141">
        <v>4</v>
      </c>
      <c r="U33" s="141">
        <v>13</v>
      </c>
      <c r="V33" s="141">
        <v>40</v>
      </c>
      <c r="W33" s="141">
        <v>36</v>
      </c>
    </row>
    <row r="34" spans="1:23">
      <c r="A34" s="387"/>
      <c r="B34" s="387"/>
      <c r="C34" s="140" t="s">
        <v>380</v>
      </c>
      <c r="D34" s="141">
        <v>0</v>
      </c>
      <c r="E34" s="141">
        <v>0</v>
      </c>
      <c r="F34" s="141">
        <v>6</v>
      </c>
      <c r="G34" s="141">
        <v>3</v>
      </c>
      <c r="H34" s="141">
        <v>277</v>
      </c>
      <c r="I34" s="141">
        <v>153</v>
      </c>
      <c r="J34" s="141">
        <v>840</v>
      </c>
      <c r="K34" s="141">
        <v>699</v>
      </c>
      <c r="L34" s="141">
        <v>2</v>
      </c>
      <c r="M34" s="141">
        <v>2</v>
      </c>
      <c r="N34" s="141">
        <v>0</v>
      </c>
      <c r="O34" s="141">
        <v>1</v>
      </c>
      <c r="P34" s="141">
        <v>0</v>
      </c>
      <c r="Q34" s="141">
        <v>0</v>
      </c>
      <c r="R34" s="141">
        <v>0</v>
      </c>
      <c r="S34" s="141">
        <v>0</v>
      </c>
      <c r="T34" s="141">
        <v>98</v>
      </c>
      <c r="U34" s="141">
        <v>56</v>
      </c>
      <c r="V34" s="141">
        <v>68</v>
      </c>
      <c r="W34" s="141">
        <v>39</v>
      </c>
    </row>
    <row r="35" spans="1:23">
      <c r="A35" s="387"/>
      <c r="B35" s="387"/>
      <c r="C35" s="140" t="s">
        <v>381</v>
      </c>
      <c r="D35" s="141">
        <v>0</v>
      </c>
      <c r="E35" s="141">
        <v>0</v>
      </c>
      <c r="F35" s="141">
        <v>0</v>
      </c>
      <c r="G35" s="141">
        <v>4</v>
      </c>
      <c r="H35" s="141">
        <v>4</v>
      </c>
      <c r="I35" s="141">
        <v>89</v>
      </c>
      <c r="J35" s="141">
        <v>2</v>
      </c>
      <c r="K35" s="141">
        <v>57</v>
      </c>
      <c r="L35" s="141">
        <v>1</v>
      </c>
      <c r="M35" s="141">
        <v>71</v>
      </c>
      <c r="N35" s="141">
        <v>0</v>
      </c>
      <c r="O35" s="141">
        <v>2</v>
      </c>
      <c r="P35" s="141">
        <v>0</v>
      </c>
      <c r="Q35" s="141">
        <v>0</v>
      </c>
      <c r="R35" s="141">
        <v>0</v>
      </c>
      <c r="S35" s="141">
        <v>0</v>
      </c>
      <c r="T35" s="141">
        <v>1</v>
      </c>
      <c r="U35" s="141">
        <v>26</v>
      </c>
      <c r="V35" s="141">
        <v>0</v>
      </c>
      <c r="W35" s="141">
        <v>8</v>
      </c>
    </row>
    <row r="36" spans="1:23">
      <c r="A36" s="387"/>
      <c r="B36" s="387"/>
      <c r="C36" s="140" t="s">
        <v>382</v>
      </c>
      <c r="D36" s="141">
        <v>0</v>
      </c>
      <c r="E36" s="141">
        <v>0</v>
      </c>
      <c r="F36" s="141">
        <v>0</v>
      </c>
      <c r="G36" s="141">
        <v>0</v>
      </c>
      <c r="H36" s="141">
        <v>0</v>
      </c>
      <c r="I36" s="141">
        <v>0</v>
      </c>
      <c r="J36" s="141">
        <v>554</v>
      </c>
      <c r="K36" s="141">
        <v>486</v>
      </c>
      <c r="L36" s="141">
        <v>1</v>
      </c>
      <c r="M36" s="141">
        <v>1</v>
      </c>
      <c r="N36" s="141">
        <v>2</v>
      </c>
      <c r="O36" s="141">
        <v>1</v>
      </c>
      <c r="P36" s="141">
        <v>0</v>
      </c>
      <c r="Q36" s="141">
        <v>0</v>
      </c>
      <c r="R36" s="141">
        <v>0</v>
      </c>
      <c r="S36" s="141">
        <v>0</v>
      </c>
      <c r="T36" s="141">
        <v>0</v>
      </c>
      <c r="U36" s="141">
        <v>0</v>
      </c>
      <c r="V36" s="141">
        <v>10</v>
      </c>
      <c r="W36" s="141">
        <v>5</v>
      </c>
    </row>
    <row r="37" spans="1:23">
      <c r="A37" s="387"/>
      <c r="B37" s="387"/>
      <c r="C37" s="140" t="s">
        <v>383</v>
      </c>
      <c r="D37" s="141">
        <v>0</v>
      </c>
      <c r="E37" s="141">
        <v>0</v>
      </c>
      <c r="F37" s="141">
        <v>0</v>
      </c>
      <c r="G37" s="141">
        <v>0</v>
      </c>
      <c r="H37" s="141">
        <v>0</v>
      </c>
      <c r="I37" s="141">
        <v>0</v>
      </c>
      <c r="J37" s="141">
        <v>363</v>
      </c>
      <c r="K37" s="141">
        <v>352</v>
      </c>
      <c r="L37" s="141">
        <v>0</v>
      </c>
      <c r="M37" s="141">
        <v>1</v>
      </c>
      <c r="N37" s="141">
        <v>1</v>
      </c>
      <c r="O37" s="141">
        <v>0</v>
      </c>
      <c r="P37" s="141">
        <v>0</v>
      </c>
      <c r="Q37" s="141">
        <v>0</v>
      </c>
      <c r="R37" s="141">
        <v>0</v>
      </c>
      <c r="S37" s="141">
        <v>0</v>
      </c>
      <c r="T37" s="141">
        <v>0</v>
      </c>
      <c r="U37" s="141">
        <v>0</v>
      </c>
      <c r="V37" s="141">
        <v>8</v>
      </c>
      <c r="W37" s="141">
        <v>3</v>
      </c>
    </row>
    <row r="38" spans="1:23" ht="25.5">
      <c r="A38" s="387"/>
      <c r="B38" s="387"/>
      <c r="C38" s="140" t="s">
        <v>384</v>
      </c>
      <c r="D38" s="141">
        <v>0</v>
      </c>
      <c r="E38" s="141">
        <v>0</v>
      </c>
      <c r="F38" s="141">
        <v>1</v>
      </c>
      <c r="G38" s="141">
        <v>2</v>
      </c>
      <c r="H38" s="141">
        <v>112</v>
      </c>
      <c r="I38" s="141">
        <v>43</v>
      </c>
      <c r="J38" s="141">
        <v>344</v>
      </c>
      <c r="K38" s="141">
        <v>211</v>
      </c>
      <c r="L38" s="141">
        <v>3</v>
      </c>
      <c r="M38" s="141">
        <v>3</v>
      </c>
      <c r="N38" s="141">
        <v>2</v>
      </c>
      <c r="O38" s="141">
        <v>9</v>
      </c>
      <c r="P38" s="141">
        <v>0</v>
      </c>
      <c r="Q38" s="141">
        <v>0</v>
      </c>
      <c r="R38" s="141">
        <v>0</v>
      </c>
      <c r="S38" s="141">
        <v>0</v>
      </c>
      <c r="T38" s="141">
        <v>7</v>
      </c>
      <c r="U38" s="141">
        <v>4</v>
      </c>
      <c r="V38" s="141">
        <v>56</v>
      </c>
      <c r="W38" s="141">
        <v>45</v>
      </c>
    </row>
    <row r="39" spans="1:23" ht="25.5">
      <c r="A39" s="387"/>
      <c r="B39" s="387"/>
      <c r="C39" s="140" t="s">
        <v>385</v>
      </c>
      <c r="D39" s="141">
        <v>0</v>
      </c>
      <c r="E39" s="141">
        <v>0</v>
      </c>
      <c r="F39" s="141">
        <v>0</v>
      </c>
      <c r="G39" s="141">
        <v>0</v>
      </c>
      <c r="H39" s="141">
        <v>650</v>
      </c>
      <c r="I39" s="141">
        <v>890</v>
      </c>
      <c r="J39" s="141">
        <v>1209</v>
      </c>
      <c r="K39" s="141">
        <v>1545</v>
      </c>
      <c r="L39" s="141">
        <v>0</v>
      </c>
      <c r="M39" s="141">
        <v>0</v>
      </c>
      <c r="N39" s="141">
        <v>0</v>
      </c>
      <c r="O39" s="141">
        <v>0</v>
      </c>
      <c r="P39" s="141">
        <v>0</v>
      </c>
      <c r="Q39" s="141">
        <v>0</v>
      </c>
      <c r="R39" s="141">
        <v>0</v>
      </c>
      <c r="S39" s="141">
        <v>4</v>
      </c>
      <c r="T39" s="141">
        <v>18</v>
      </c>
      <c r="U39" s="141">
        <v>24</v>
      </c>
      <c r="V39" s="141">
        <v>4</v>
      </c>
      <c r="W39" s="141">
        <v>5</v>
      </c>
    </row>
    <row r="40" spans="1:23">
      <c r="A40" s="387"/>
      <c r="B40" s="387"/>
      <c r="C40" s="140" t="s">
        <v>386</v>
      </c>
      <c r="D40" s="141">
        <v>0</v>
      </c>
      <c r="E40" s="141">
        <v>0</v>
      </c>
      <c r="F40" s="141">
        <v>0</v>
      </c>
      <c r="G40" s="141">
        <v>0</v>
      </c>
      <c r="H40" s="141">
        <v>139</v>
      </c>
      <c r="I40" s="141">
        <v>52</v>
      </c>
      <c r="J40" s="141">
        <v>1429</v>
      </c>
      <c r="K40" s="141">
        <v>200</v>
      </c>
      <c r="L40" s="141">
        <v>7</v>
      </c>
      <c r="M40" s="141">
        <v>1</v>
      </c>
      <c r="N40" s="141">
        <v>1</v>
      </c>
      <c r="O40" s="141">
        <v>0</v>
      </c>
      <c r="P40" s="141">
        <v>0</v>
      </c>
      <c r="Q40" s="141">
        <v>0</v>
      </c>
      <c r="R40" s="141">
        <v>0</v>
      </c>
      <c r="S40" s="141">
        <v>0</v>
      </c>
      <c r="T40" s="141">
        <v>20</v>
      </c>
      <c r="U40" s="141">
        <v>5</v>
      </c>
      <c r="V40" s="141">
        <v>45</v>
      </c>
      <c r="W40" s="141">
        <v>6</v>
      </c>
    </row>
    <row r="41" spans="1:23" s="35" customFormat="1" ht="35.25" customHeight="1">
      <c r="A41" s="390" t="s">
        <v>126</v>
      </c>
      <c r="B41" s="390"/>
      <c r="C41" s="390"/>
      <c r="D41" s="142">
        <f t="shared" ref="D41:W41" si="0">SUM(D4:D40)</f>
        <v>997</v>
      </c>
      <c r="E41" s="142">
        <f t="shared" si="0"/>
        <v>1320</v>
      </c>
      <c r="F41" s="142">
        <f t="shared" si="0"/>
        <v>5396</v>
      </c>
      <c r="G41" s="142">
        <f t="shared" si="0"/>
        <v>5572</v>
      </c>
      <c r="H41" s="142">
        <f t="shared" si="0"/>
        <v>3233</v>
      </c>
      <c r="I41" s="142">
        <f t="shared" si="0"/>
        <v>2194</v>
      </c>
      <c r="J41" s="142">
        <f t="shared" si="0"/>
        <v>12243</v>
      </c>
      <c r="K41" s="142">
        <f t="shared" si="0"/>
        <v>8745</v>
      </c>
      <c r="L41" s="142">
        <f t="shared" si="0"/>
        <v>446</v>
      </c>
      <c r="M41" s="142">
        <f t="shared" si="0"/>
        <v>598</v>
      </c>
      <c r="N41" s="142">
        <f t="shared" si="0"/>
        <v>77</v>
      </c>
      <c r="O41" s="142">
        <f t="shared" si="0"/>
        <v>79</v>
      </c>
      <c r="P41" s="142">
        <f t="shared" si="0"/>
        <v>9</v>
      </c>
      <c r="Q41" s="142">
        <f t="shared" si="0"/>
        <v>2</v>
      </c>
      <c r="R41" s="142">
        <f t="shared" si="0"/>
        <v>74</v>
      </c>
      <c r="S41" s="142">
        <f t="shared" si="0"/>
        <v>276</v>
      </c>
      <c r="T41" s="142">
        <f t="shared" si="0"/>
        <v>406</v>
      </c>
      <c r="U41" s="142">
        <f t="shared" si="0"/>
        <v>492</v>
      </c>
      <c r="V41" s="142">
        <f t="shared" si="0"/>
        <v>526</v>
      </c>
      <c r="W41" s="142">
        <f t="shared" si="0"/>
        <v>327</v>
      </c>
    </row>
    <row r="43" spans="1:23" ht="15">
      <c r="D43" s="389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89"/>
      <c r="P43" s="389"/>
      <c r="Q43" s="389"/>
      <c r="R43" s="389"/>
      <c r="S43" s="389"/>
      <c r="T43" s="389"/>
      <c r="U43" s="389"/>
      <c r="V43" s="389"/>
      <c r="W43" s="389"/>
    </row>
    <row r="45" spans="1:23">
      <c r="C45" s="36"/>
      <c r="D45" s="391"/>
      <c r="E45" s="391"/>
      <c r="F45" s="391"/>
      <c r="G45" s="391"/>
      <c r="L45" s="391"/>
      <c r="M45" s="391"/>
      <c r="N45" s="391"/>
      <c r="O45" s="391"/>
    </row>
    <row r="47" spans="1:23">
      <c r="C47" s="37"/>
      <c r="D47" s="392"/>
      <c r="E47" s="392"/>
      <c r="F47" s="392"/>
      <c r="G47" s="392"/>
      <c r="H47" s="393"/>
      <c r="I47" s="393"/>
      <c r="L47" s="392"/>
      <c r="M47" s="392"/>
      <c r="N47" s="394"/>
      <c r="O47" s="394"/>
    </row>
  </sheetData>
  <mergeCells count="41">
    <mergeCell ref="D45:E45"/>
    <mergeCell ref="F45:G45"/>
    <mergeCell ref="L45:M45"/>
    <mergeCell ref="N45:O45"/>
    <mergeCell ref="D47:E47"/>
    <mergeCell ref="F47:G47"/>
    <mergeCell ref="H47:I47"/>
    <mergeCell ref="L47:M47"/>
    <mergeCell ref="N47:O47"/>
    <mergeCell ref="V43:W43"/>
    <mergeCell ref="A26:B40"/>
    <mergeCell ref="A41:C41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A4:A25"/>
    <mergeCell ref="B4:B8"/>
    <mergeCell ref="B9:B15"/>
    <mergeCell ref="B16:B19"/>
    <mergeCell ref="B21:B22"/>
    <mergeCell ref="B23:B24"/>
    <mergeCell ref="A1:W1"/>
    <mergeCell ref="A2:A3"/>
    <mergeCell ref="B2:B3"/>
    <mergeCell ref="C2:C3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</mergeCells>
  <pageMargins left="0.7" right="0.7" top="0.75" bottom="0.75" header="0.3" footer="0.3"/>
  <pageSetup paperSize="9" scale="43" fitToWidth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7"/>
  <sheetViews>
    <sheetView topLeftCell="C30" workbookViewId="0">
      <selection activeCell="D57" sqref="D57"/>
    </sheetView>
  </sheetViews>
  <sheetFormatPr defaultRowHeight="15"/>
  <cols>
    <col min="1" max="1" width="50.7109375" customWidth="1"/>
    <col min="2" max="2" width="53.5703125" bestFit="1" customWidth="1"/>
    <col min="3" max="3" width="77.7109375" bestFit="1" customWidth="1"/>
    <col min="4" max="23" width="5.85546875" customWidth="1"/>
  </cols>
  <sheetData>
    <row r="1" spans="1:23">
      <c r="A1" s="320" t="s">
        <v>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87.75" customHeight="1">
      <c r="A2" s="22" t="s">
        <v>0</v>
      </c>
      <c r="B2" s="22" t="s">
        <v>4</v>
      </c>
      <c r="C2" s="22" t="s">
        <v>1</v>
      </c>
      <c r="D2" s="353" t="s">
        <v>5</v>
      </c>
      <c r="E2" s="332"/>
      <c r="F2" s="395" t="s">
        <v>2</v>
      </c>
      <c r="G2" s="332"/>
      <c r="H2" s="353" t="s">
        <v>10</v>
      </c>
      <c r="I2" s="332"/>
      <c r="J2" s="396" t="s">
        <v>11</v>
      </c>
      <c r="K2" s="332"/>
      <c r="L2" s="396" t="s">
        <v>9</v>
      </c>
      <c r="M2" s="396"/>
      <c r="N2" s="396" t="s">
        <v>14</v>
      </c>
      <c r="O2" s="396"/>
      <c r="P2" s="396" t="s">
        <v>15</v>
      </c>
      <c r="Q2" s="396"/>
      <c r="R2" s="353" t="s">
        <v>3</v>
      </c>
      <c r="S2" s="332"/>
      <c r="T2" s="353" t="s">
        <v>12</v>
      </c>
      <c r="U2" s="332"/>
      <c r="V2" s="353" t="s">
        <v>13</v>
      </c>
      <c r="W2" s="331"/>
    </row>
    <row r="3" spans="1:23">
      <c r="A3" s="64"/>
      <c r="B3" s="64"/>
      <c r="C3" s="64"/>
      <c r="D3" s="64" t="s">
        <v>6</v>
      </c>
      <c r="E3" s="64" t="s">
        <v>7</v>
      </c>
      <c r="F3" s="64" t="s">
        <v>6</v>
      </c>
      <c r="G3" s="64" t="s">
        <v>7</v>
      </c>
      <c r="H3" s="64" t="s">
        <v>6</v>
      </c>
      <c r="I3" s="64" t="s">
        <v>7</v>
      </c>
      <c r="J3" s="64" t="s">
        <v>6</v>
      </c>
      <c r="K3" s="64" t="s">
        <v>7</v>
      </c>
      <c r="L3" s="64" t="s">
        <v>6</v>
      </c>
      <c r="M3" s="64" t="s">
        <v>7</v>
      </c>
      <c r="N3" s="64" t="s">
        <v>6</v>
      </c>
      <c r="O3" s="64" t="s">
        <v>7</v>
      </c>
      <c r="P3" s="64" t="s">
        <v>6</v>
      </c>
      <c r="Q3" s="64" t="s">
        <v>7</v>
      </c>
      <c r="R3" s="64" t="s">
        <v>6</v>
      </c>
      <c r="S3" s="64" t="s">
        <v>7</v>
      </c>
      <c r="T3" s="64" t="s">
        <v>6</v>
      </c>
      <c r="U3" s="64" t="s">
        <v>7</v>
      </c>
      <c r="V3" s="64" t="s">
        <v>6</v>
      </c>
      <c r="W3" s="64" t="s">
        <v>7</v>
      </c>
    </row>
    <row r="4" spans="1:23">
      <c r="A4" s="134" t="s">
        <v>387</v>
      </c>
      <c r="B4" s="134" t="s">
        <v>388</v>
      </c>
      <c r="C4" s="134" t="s">
        <v>389</v>
      </c>
      <c r="D4" s="134">
        <v>31</v>
      </c>
      <c r="E4" s="134">
        <v>98</v>
      </c>
      <c r="F4" s="134">
        <v>151</v>
      </c>
      <c r="G4" s="134">
        <v>446</v>
      </c>
      <c r="H4" s="134">
        <v>51</v>
      </c>
      <c r="I4" s="134">
        <v>132</v>
      </c>
      <c r="J4" s="134">
        <v>35</v>
      </c>
      <c r="K4" s="134">
        <v>84</v>
      </c>
      <c r="L4" s="134">
        <v>9</v>
      </c>
      <c r="M4" s="134">
        <v>24</v>
      </c>
      <c r="N4" s="134">
        <v>2</v>
      </c>
      <c r="O4" s="134">
        <v>4</v>
      </c>
      <c r="P4" s="136">
        <v>0</v>
      </c>
      <c r="Q4" s="136">
        <v>0</v>
      </c>
      <c r="R4" s="134">
        <v>0</v>
      </c>
      <c r="S4" s="134">
        <v>1</v>
      </c>
      <c r="T4" s="134">
        <v>14</v>
      </c>
      <c r="U4" s="134">
        <v>40</v>
      </c>
      <c r="V4" s="134">
        <v>3</v>
      </c>
      <c r="W4" s="134">
        <v>5</v>
      </c>
    </row>
    <row r="5" spans="1:23">
      <c r="A5" s="134" t="s">
        <v>387</v>
      </c>
      <c r="B5" s="134" t="s">
        <v>220</v>
      </c>
      <c r="C5" s="134" t="s">
        <v>390</v>
      </c>
      <c r="D5" s="134">
        <v>39</v>
      </c>
      <c r="E5" s="134">
        <v>86</v>
      </c>
      <c r="F5" s="134">
        <v>129</v>
      </c>
      <c r="G5" s="134">
        <v>261</v>
      </c>
      <c r="H5" s="134">
        <v>22</v>
      </c>
      <c r="I5" s="134">
        <v>33</v>
      </c>
      <c r="J5" s="134">
        <v>114</v>
      </c>
      <c r="K5" s="134">
        <v>128</v>
      </c>
      <c r="L5" s="134">
        <v>11</v>
      </c>
      <c r="M5" s="134">
        <v>24</v>
      </c>
      <c r="N5" s="134">
        <v>1</v>
      </c>
      <c r="O5" s="134">
        <v>12</v>
      </c>
      <c r="P5" s="136">
        <v>0</v>
      </c>
      <c r="Q5" s="136">
        <v>0</v>
      </c>
      <c r="R5" s="134">
        <v>9</v>
      </c>
      <c r="S5" s="134">
        <v>31</v>
      </c>
      <c r="T5" s="134">
        <v>11</v>
      </c>
      <c r="U5" s="134">
        <v>37</v>
      </c>
      <c r="V5" s="134">
        <v>5</v>
      </c>
      <c r="W5" s="134">
        <v>7</v>
      </c>
    </row>
    <row r="6" spans="1:23">
      <c r="A6" s="134" t="s">
        <v>387</v>
      </c>
      <c r="B6" s="134" t="s">
        <v>214</v>
      </c>
      <c r="C6" s="134" t="s">
        <v>391</v>
      </c>
      <c r="D6" s="134">
        <v>24</v>
      </c>
      <c r="E6" s="134">
        <v>26</v>
      </c>
      <c r="F6" s="134">
        <v>150</v>
      </c>
      <c r="G6" s="134">
        <v>231</v>
      </c>
      <c r="H6" s="134">
        <v>60</v>
      </c>
      <c r="I6" s="134">
        <v>50</v>
      </c>
      <c r="J6" s="134">
        <v>112</v>
      </c>
      <c r="K6" s="134">
        <v>75</v>
      </c>
      <c r="L6" s="134">
        <v>8</v>
      </c>
      <c r="M6" s="134">
        <v>11</v>
      </c>
      <c r="N6" s="134">
        <v>1</v>
      </c>
      <c r="O6" s="134">
        <v>1</v>
      </c>
      <c r="P6" s="136">
        <v>0</v>
      </c>
      <c r="Q6" s="136">
        <v>0</v>
      </c>
      <c r="R6" s="134">
        <v>4</v>
      </c>
      <c r="S6" s="134">
        <v>6</v>
      </c>
      <c r="T6" s="134">
        <v>8</v>
      </c>
      <c r="U6" s="134">
        <v>8</v>
      </c>
      <c r="V6" s="134">
        <v>3</v>
      </c>
      <c r="W6" s="134">
        <v>0</v>
      </c>
    </row>
    <row r="7" spans="1:23">
      <c r="A7" s="134" t="s">
        <v>387</v>
      </c>
      <c r="B7" s="134" t="s">
        <v>214</v>
      </c>
      <c r="C7" s="134" t="s">
        <v>392</v>
      </c>
      <c r="D7" s="134">
        <v>83</v>
      </c>
      <c r="E7" s="134">
        <v>62</v>
      </c>
      <c r="F7" s="134">
        <v>329</v>
      </c>
      <c r="G7" s="134">
        <v>265</v>
      </c>
      <c r="H7" s="134">
        <v>58</v>
      </c>
      <c r="I7" s="134">
        <v>21</v>
      </c>
      <c r="J7" s="134">
        <v>143</v>
      </c>
      <c r="K7" s="134">
        <v>56</v>
      </c>
      <c r="L7" s="134">
        <v>14</v>
      </c>
      <c r="M7" s="134">
        <v>6</v>
      </c>
      <c r="N7" s="134">
        <v>6</v>
      </c>
      <c r="O7" s="134">
        <v>1</v>
      </c>
      <c r="P7" s="136">
        <v>0</v>
      </c>
      <c r="Q7" s="136">
        <v>0</v>
      </c>
      <c r="R7" s="134">
        <v>6</v>
      </c>
      <c r="S7" s="134">
        <v>18</v>
      </c>
      <c r="T7" s="134">
        <v>16</v>
      </c>
      <c r="U7" s="134">
        <v>15</v>
      </c>
      <c r="V7" s="134">
        <v>6</v>
      </c>
      <c r="W7" s="134">
        <v>2</v>
      </c>
    </row>
    <row r="8" spans="1:23">
      <c r="A8" s="134" t="s">
        <v>387</v>
      </c>
      <c r="B8" s="134" t="s">
        <v>393</v>
      </c>
      <c r="C8" s="134" t="s">
        <v>394</v>
      </c>
      <c r="D8" s="134">
        <v>109</v>
      </c>
      <c r="E8" s="134">
        <v>71</v>
      </c>
      <c r="F8" s="134">
        <v>383</v>
      </c>
      <c r="G8" s="134">
        <v>250</v>
      </c>
      <c r="H8" s="134">
        <v>52</v>
      </c>
      <c r="I8" s="134">
        <v>23</v>
      </c>
      <c r="J8" s="134">
        <v>249</v>
      </c>
      <c r="K8" s="134">
        <v>77</v>
      </c>
      <c r="L8" s="134">
        <v>34</v>
      </c>
      <c r="M8" s="134">
        <v>34</v>
      </c>
      <c r="N8" s="134">
        <v>7</v>
      </c>
      <c r="O8" s="134">
        <v>4</v>
      </c>
      <c r="P8" s="136">
        <v>0</v>
      </c>
      <c r="Q8" s="136">
        <v>0</v>
      </c>
      <c r="R8" s="134">
        <v>46</v>
      </c>
      <c r="S8" s="134">
        <v>46</v>
      </c>
      <c r="T8" s="134">
        <v>22</v>
      </c>
      <c r="U8" s="134">
        <v>20</v>
      </c>
      <c r="V8" s="134">
        <v>5</v>
      </c>
      <c r="W8" s="134">
        <v>0</v>
      </c>
    </row>
    <row r="9" spans="1:23">
      <c r="A9" s="134" t="s">
        <v>387</v>
      </c>
      <c r="B9" s="134" t="s">
        <v>388</v>
      </c>
      <c r="C9" s="134" t="s">
        <v>395</v>
      </c>
      <c r="D9" s="134">
        <v>130</v>
      </c>
      <c r="E9" s="134">
        <v>27</v>
      </c>
      <c r="F9" s="134">
        <v>605</v>
      </c>
      <c r="G9" s="134">
        <v>131</v>
      </c>
      <c r="H9" s="134">
        <v>134</v>
      </c>
      <c r="I9" s="134">
        <v>14</v>
      </c>
      <c r="J9" s="134">
        <v>370</v>
      </c>
      <c r="K9" s="134">
        <v>56</v>
      </c>
      <c r="L9" s="134">
        <v>67</v>
      </c>
      <c r="M9" s="134">
        <v>22</v>
      </c>
      <c r="N9" s="134">
        <v>7</v>
      </c>
      <c r="O9" s="134">
        <v>0</v>
      </c>
      <c r="P9" s="136">
        <v>0</v>
      </c>
      <c r="Q9" s="136">
        <v>0</v>
      </c>
      <c r="R9" s="134">
        <v>32</v>
      </c>
      <c r="S9" s="134">
        <v>13</v>
      </c>
      <c r="T9" s="134">
        <v>48</v>
      </c>
      <c r="U9" s="134">
        <v>10</v>
      </c>
      <c r="V9" s="134">
        <v>23</v>
      </c>
      <c r="W9" s="134">
        <v>1</v>
      </c>
    </row>
    <row r="10" spans="1:23">
      <c r="A10" s="134" t="s">
        <v>387</v>
      </c>
      <c r="B10" s="134" t="s">
        <v>220</v>
      </c>
      <c r="C10" s="134" t="s">
        <v>396</v>
      </c>
      <c r="D10" s="134">
        <v>40</v>
      </c>
      <c r="E10" s="134">
        <v>69</v>
      </c>
      <c r="F10" s="134">
        <v>224</v>
      </c>
      <c r="G10" s="134">
        <v>354</v>
      </c>
      <c r="H10" s="134">
        <v>14</v>
      </c>
      <c r="I10" s="134">
        <v>23</v>
      </c>
      <c r="J10" s="134">
        <v>52</v>
      </c>
      <c r="K10" s="134">
        <v>41</v>
      </c>
      <c r="L10" s="134">
        <v>7</v>
      </c>
      <c r="M10" s="134">
        <v>14</v>
      </c>
      <c r="N10" s="134">
        <v>5</v>
      </c>
      <c r="O10" s="134">
        <v>4</v>
      </c>
      <c r="P10" s="136">
        <v>0</v>
      </c>
      <c r="Q10" s="136">
        <v>0</v>
      </c>
      <c r="R10" s="134">
        <v>38</v>
      </c>
      <c r="S10" s="134">
        <v>42</v>
      </c>
      <c r="T10" s="134">
        <v>14</v>
      </c>
      <c r="U10" s="134">
        <v>21</v>
      </c>
      <c r="V10" s="134">
        <v>4</v>
      </c>
      <c r="W10" s="134">
        <v>5</v>
      </c>
    </row>
    <row r="11" spans="1:23">
      <c r="A11" s="134" t="s">
        <v>387</v>
      </c>
      <c r="B11" s="134" t="s">
        <v>397</v>
      </c>
      <c r="C11" s="134" t="s">
        <v>398</v>
      </c>
      <c r="D11" s="134">
        <v>41</v>
      </c>
      <c r="E11" s="134">
        <v>69</v>
      </c>
      <c r="F11" s="134">
        <v>163</v>
      </c>
      <c r="G11" s="134">
        <v>255</v>
      </c>
      <c r="H11" s="134">
        <v>24</v>
      </c>
      <c r="I11" s="134">
        <v>50</v>
      </c>
      <c r="J11" s="134">
        <v>84</v>
      </c>
      <c r="K11" s="134">
        <v>225</v>
      </c>
      <c r="L11" s="134">
        <v>8</v>
      </c>
      <c r="M11" s="134">
        <v>22</v>
      </c>
      <c r="N11" s="134">
        <v>1</v>
      </c>
      <c r="O11" s="134">
        <v>4</v>
      </c>
      <c r="P11" s="136">
        <v>0</v>
      </c>
      <c r="Q11" s="136">
        <v>0</v>
      </c>
      <c r="R11" s="134">
        <v>6</v>
      </c>
      <c r="S11" s="134">
        <v>15</v>
      </c>
      <c r="T11" s="134">
        <v>16</v>
      </c>
      <c r="U11" s="134">
        <v>42</v>
      </c>
      <c r="V11" s="134">
        <v>3</v>
      </c>
      <c r="W11" s="134">
        <v>10</v>
      </c>
    </row>
    <row r="12" spans="1:23">
      <c r="A12" s="134" t="s">
        <v>387</v>
      </c>
      <c r="B12" s="134" t="s">
        <v>220</v>
      </c>
      <c r="C12" s="134" t="s">
        <v>399</v>
      </c>
      <c r="D12" s="134">
        <v>33</v>
      </c>
      <c r="E12" s="134">
        <v>70</v>
      </c>
      <c r="F12" s="134">
        <v>129</v>
      </c>
      <c r="G12" s="134">
        <v>230</v>
      </c>
      <c r="H12" s="134">
        <v>26</v>
      </c>
      <c r="I12" s="134">
        <v>32</v>
      </c>
      <c r="J12" s="134">
        <v>37</v>
      </c>
      <c r="K12" s="134">
        <v>16</v>
      </c>
      <c r="L12" s="134">
        <v>14</v>
      </c>
      <c r="M12" s="134">
        <v>23</v>
      </c>
      <c r="N12" s="134">
        <v>3</v>
      </c>
      <c r="O12" s="134">
        <v>6</v>
      </c>
      <c r="P12" s="136">
        <v>0</v>
      </c>
      <c r="Q12" s="136">
        <v>0</v>
      </c>
      <c r="R12" s="134">
        <v>5</v>
      </c>
      <c r="S12" s="134">
        <v>12</v>
      </c>
      <c r="T12" s="134">
        <v>13</v>
      </c>
      <c r="U12" s="134">
        <v>27</v>
      </c>
      <c r="V12" s="134">
        <v>2</v>
      </c>
      <c r="W12" s="134">
        <v>2</v>
      </c>
    </row>
    <row r="13" spans="1:23">
      <c r="A13" s="134" t="s">
        <v>387</v>
      </c>
      <c r="B13" s="134" t="s">
        <v>388</v>
      </c>
      <c r="C13" s="134" t="s">
        <v>400</v>
      </c>
      <c r="D13" s="134">
        <v>32</v>
      </c>
      <c r="E13" s="134">
        <v>18</v>
      </c>
      <c r="F13" s="134">
        <v>131</v>
      </c>
      <c r="G13" s="134">
        <v>131</v>
      </c>
      <c r="H13" s="134">
        <v>51</v>
      </c>
      <c r="I13" s="134">
        <v>30</v>
      </c>
      <c r="J13" s="134">
        <v>106</v>
      </c>
      <c r="K13" s="134">
        <v>50</v>
      </c>
      <c r="L13" s="134">
        <v>4</v>
      </c>
      <c r="M13" s="134">
        <v>9</v>
      </c>
      <c r="N13" s="134">
        <v>2</v>
      </c>
      <c r="O13" s="134">
        <v>1</v>
      </c>
      <c r="P13" s="136">
        <v>0</v>
      </c>
      <c r="Q13" s="136">
        <v>0</v>
      </c>
      <c r="R13" s="134">
        <v>5</v>
      </c>
      <c r="S13" s="134">
        <v>15</v>
      </c>
      <c r="T13" s="134">
        <v>10</v>
      </c>
      <c r="U13" s="134">
        <v>19</v>
      </c>
      <c r="V13" s="134">
        <v>4</v>
      </c>
      <c r="W13" s="134">
        <v>1</v>
      </c>
    </row>
    <row r="14" spans="1:23">
      <c r="A14" s="134" t="s">
        <v>387</v>
      </c>
      <c r="B14" s="134" t="s">
        <v>388</v>
      </c>
      <c r="C14" s="134" t="s">
        <v>401</v>
      </c>
      <c r="D14" s="134">
        <v>110</v>
      </c>
      <c r="E14" s="134">
        <v>18</v>
      </c>
      <c r="F14" s="134">
        <v>428</v>
      </c>
      <c r="G14" s="134">
        <v>75</v>
      </c>
      <c r="H14" s="134">
        <v>124</v>
      </c>
      <c r="I14" s="134">
        <v>24</v>
      </c>
      <c r="J14" s="134">
        <v>167</v>
      </c>
      <c r="K14" s="134">
        <v>31</v>
      </c>
      <c r="L14" s="134">
        <v>25</v>
      </c>
      <c r="M14" s="134">
        <v>7</v>
      </c>
      <c r="N14" s="134">
        <v>3</v>
      </c>
      <c r="O14" s="134">
        <v>0</v>
      </c>
      <c r="P14" s="136">
        <v>0</v>
      </c>
      <c r="Q14" s="136">
        <v>0</v>
      </c>
      <c r="R14" s="134">
        <v>5</v>
      </c>
      <c r="S14" s="134">
        <v>2</v>
      </c>
      <c r="T14" s="134">
        <v>38</v>
      </c>
      <c r="U14" s="134">
        <v>5</v>
      </c>
      <c r="V14" s="134">
        <v>10</v>
      </c>
      <c r="W14" s="134">
        <v>0</v>
      </c>
    </row>
    <row r="15" spans="1:23">
      <c r="A15" s="134" t="s">
        <v>387</v>
      </c>
      <c r="B15" s="134" t="s">
        <v>402</v>
      </c>
      <c r="C15" s="134" t="s">
        <v>403</v>
      </c>
      <c r="D15" s="134">
        <v>118</v>
      </c>
      <c r="E15" s="134">
        <v>103</v>
      </c>
      <c r="F15" s="134">
        <v>484</v>
      </c>
      <c r="G15" s="134">
        <v>449</v>
      </c>
      <c r="H15" s="134">
        <v>117</v>
      </c>
      <c r="I15" s="134">
        <v>44</v>
      </c>
      <c r="J15" s="134">
        <v>265</v>
      </c>
      <c r="K15" s="134">
        <v>161</v>
      </c>
      <c r="L15" s="134">
        <v>44</v>
      </c>
      <c r="M15" s="134">
        <v>31</v>
      </c>
      <c r="N15" s="134">
        <v>14</v>
      </c>
      <c r="O15" s="134">
        <v>5</v>
      </c>
      <c r="P15" s="136">
        <v>0</v>
      </c>
      <c r="Q15" s="136">
        <v>0</v>
      </c>
      <c r="R15" s="134">
        <v>8</v>
      </c>
      <c r="S15" s="134">
        <v>20</v>
      </c>
      <c r="T15" s="134">
        <v>35</v>
      </c>
      <c r="U15" s="134">
        <v>34</v>
      </c>
      <c r="V15" s="134">
        <v>8</v>
      </c>
      <c r="W15" s="134">
        <v>4</v>
      </c>
    </row>
    <row r="16" spans="1:23">
      <c r="A16" s="134" t="s">
        <v>387</v>
      </c>
      <c r="B16" s="134" t="s">
        <v>397</v>
      </c>
      <c r="C16" s="134" t="s">
        <v>404</v>
      </c>
      <c r="D16" s="134">
        <v>22</v>
      </c>
      <c r="E16" s="134">
        <v>133</v>
      </c>
      <c r="F16" s="134">
        <v>103</v>
      </c>
      <c r="G16" s="134">
        <v>479</v>
      </c>
      <c r="H16" s="134">
        <v>21</v>
      </c>
      <c r="I16" s="134">
        <v>24</v>
      </c>
      <c r="J16" s="134">
        <v>53</v>
      </c>
      <c r="K16" s="134">
        <v>91</v>
      </c>
      <c r="L16" s="134">
        <v>10</v>
      </c>
      <c r="M16" s="134">
        <v>56</v>
      </c>
      <c r="N16" s="134">
        <v>2</v>
      </c>
      <c r="O16" s="134">
        <v>4</v>
      </c>
      <c r="P16" s="136">
        <v>0</v>
      </c>
      <c r="Q16" s="136">
        <v>0</v>
      </c>
      <c r="R16" s="134">
        <v>15</v>
      </c>
      <c r="S16" s="134">
        <v>114</v>
      </c>
      <c r="T16" s="134">
        <v>8</v>
      </c>
      <c r="U16" s="134">
        <v>23</v>
      </c>
      <c r="V16" s="134">
        <v>2</v>
      </c>
      <c r="W16" s="134">
        <v>7</v>
      </c>
    </row>
    <row r="17" spans="1:23">
      <c r="A17" s="134" t="s">
        <v>387</v>
      </c>
      <c r="B17" s="134" t="s">
        <v>397</v>
      </c>
      <c r="C17" s="134" t="s">
        <v>405</v>
      </c>
      <c r="D17" s="134">
        <v>24</v>
      </c>
      <c r="E17" s="134">
        <v>116</v>
      </c>
      <c r="F17" s="134">
        <v>64</v>
      </c>
      <c r="G17" s="134">
        <v>375</v>
      </c>
      <c r="H17" s="134">
        <v>7</v>
      </c>
      <c r="I17" s="134">
        <v>27</v>
      </c>
      <c r="J17" s="134">
        <v>35</v>
      </c>
      <c r="K17" s="134">
        <v>74</v>
      </c>
      <c r="L17" s="134">
        <v>4</v>
      </c>
      <c r="M17" s="134">
        <v>6</v>
      </c>
      <c r="N17" s="134">
        <v>0</v>
      </c>
      <c r="O17" s="134">
        <v>0</v>
      </c>
      <c r="P17" s="136">
        <v>0</v>
      </c>
      <c r="Q17" s="136">
        <v>0</v>
      </c>
      <c r="R17" s="134">
        <v>11</v>
      </c>
      <c r="S17" s="134">
        <v>72</v>
      </c>
      <c r="T17" s="134">
        <v>2</v>
      </c>
      <c r="U17" s="134">
        <v>21</v>
      </c>
      <c r="V17" s="134">
        <v>2</v>
      </c>
      <c r="W17" s="134">
        <v>5</v>
      </c>
    </row>
    <row r="18" spans="1:23">
      <c r="A18" s="134" t="s">
        <v>387</v>
      </c>
      <c r="B18" s="134" t="s">
        <v>397</v>
      </c>
      <c r="C18" s="134" t="s">
        <v>406</v>
      </c>
      <c r="D18" s="134">
        <v>3</v>
      </c>
      <c r="E18" s="134">
        <v>173</v>
      </c>
      <c r="F18" s="134">
        <v>36</v>
      </c>
      <c r="G18" s="134">
        <v>602</v>
      </c>
      <c r="H18" s="134">
        <v>8</v>
      </c>
      <c r="I18" s="134">
        <v>40</v>
      </c>
      <c r="J18" s="134">
        <v>22</v>
      </c>
      <c r="K18" s="134">
        <v>148</v>
      </c>
      <c r="L18" s="134">
        <v>2</v>
      </c>
      <c r="M18" s="134">
        <v>25</v>
      </c>
      <c r="N18" s="134">
        <v>0</v>
      </c>
      <c r="O18" s="134">
        <v>4</v>
      </c>
      <c r="P18" s="136">
        <v>0</v>
      </c>
      <c r="Q18" s="136">
        <v>0</v>
      </c>
      <c r="R18" s="134">
        <v>4</v>
      </c>
      <c r="S18" s="134">
        <v>105</v>
      </c>
      <c r="T18" s="134">
        <v>2</v>
      </c>
      <c r="U18" s="134">
        <v>44</v>
      </c>
      <c r="V18" s="134">
        <v>2</v>
      </c>
      <c r="W18" s="134">
        <v>9</v>
      </c>
    </row>
    <row r="19" spans="1:23">
      <c r="A19" s="134" t="s">
        <v>387</v>
      </c>
      <c r="B19" s="134" t="s">
        <v>407</v>
      </c>
      <c r="C19" s="134" t="s">
        <v>408</v>
      </c>
      <c r="D19" s="134">
        <v>133</v>
      </c>
      <c r="E19" s="134">
        <v>26</v>
      </c>
      <c r="F19" s="134">
        <v>499</v>
      </c>
      <c r="G19" s="134">
        <v>97</v>
      </c>
      <c r="H19" s="134">
        <v>130</v>
      </c>
      <c r="I19" s="134">
        <v>22</v>
      </c>
      <c r="J19" s="134">
        <v>200</v>
      </c>
      <c r="K19" s="134">
        <v>37</v>
      </c>
      <c r="L19" s="134">
        <v>136</v>
      </c>
      <c r="M19" s="134">
        <v>38</v>
      </c>
      <c r="N19" s="134">
        <v>10</v>
      </c>
      <c r="O19" s="134">
        <v>1</v>
      </c>
      <c r="P19" s="136">
        <v>0</v>
      </c>
      <c r="Q19" s="136">
        <v>0</v>
      </c>
      <c r="R19" s="134">
        <v>2</v>
      </c>
      <c r="S19" s="134">
        <v>0</v>
      </c>
      <c r="T19" s="134">
        <v>19</v>
      </c>
      <c r="U19" s="134">
        <v>8</v>
      </c>
      <c r="V19" s="134">
        <v>22</v>
      </c>
      <c r="W19" s="134">
        <v>4</v>
      </c>
    </row>
    <row r="20" spans="1:23">
      <c r="A20" s="134" t="s">
        <v>387</v>
      </c>
      <c r="B20" s="134" t="s">
        <v>407</v>
      </c>
      <c r="C20" s="134" t="s">
        <v>409</v>
      </c>
      <c r="D20" s="134">
        <v>107</v>
      </c>
      <c r="E20" s="134">
        <v>93</v>
      </c>
      <c r="F20" s="134">
        <v>314</v>
      </c>
      <c r="G20" s="134">
        <v>295</v>
      </c>
      <c r="H20" s="134">
        <v>70</v>
      </c>
      <c r="I20" s="134">
        <v>80</v>
      </c>
      <c r="J20" s="134">
        <v>180</v>
      </c>
      <c r="K20" s="134">
        <v>126</v>
      </c>
      <c r="L20" s="134">
        <v>26</v>
      </c>
      <c r="M20" s="134">
        <v>28</v>
      </c>
      <c r="N20" s="134">
        <v>9</v>
      </c>
      <c r="O20" s="134">
        <v>8</v>
      </c>
      <c r="P20" s="136">
        <v>0</v>
      </c>
      <c r="Q20" s="136">
        <v>0</v>
      </c>
      <c r="R20" s="134">
        <v>2</v>
      </c>
      <c r="S20" s="134">
        <v>1</v>
      </c>
      <c r="T20" s="134">
        <v>15</v>
      </c>
      <c r="U20" s="134">
        <v>22</v>
      </c>
      <c r="V20" s="134">
        <v>13</v>
      </c>
      <c r="W20" s="134">
        <v>15</v>
      </c>
    </row>
    <row r="21" spans="1:23">
      <c r="A21" s="134" t="s">
        <v>387</v>
      </c>
      <c r="B21" s="134" t="s">
        <v>388</v>
      </c>
      <c r="C21" s="134" t="s">
        <v>410</v>
      </c>
      <c r="D21" s="134">
        <v>71</v>
      </c>
      <c r="E21" s="134">
        <v>33</v>
      </c>
      <c r="F21" s="134">
        <v>284</v>
      </c>
      <c r="G21" s="134">
        <v>138</v>
      </c>
      <c r="H21" s="134">
        <v>83</v>
      </c>
      <c r="I21" s="134">
        <v>39</v>
      </c>
      <c r="J21" s="134">
        <v>99</v>
      </c>
      <c r="K21" s="134">
        <v>47</v>
      </c>
      <c r="L21" s="134">
        <v>1</v>
      </c>
      <c r="M21" s="134">
        <v>1</v>
      </c>
      <c r="N21" s="134">
        <v>5</v>
      </c>
      <c r="O21" s="134">
        <v>1</v>
      </c>
      <c r="P21" s="136">
        <v>0</v>
      </c>
      <c r="Q21" s="136">
        <v>0</v>
      </c>
      <c r="R21" s="134">
        <v>0</v>
      </c>
      <c r="S21" s="134">
        <v>3</v>
      </c>
      <c r="T21" s="134">
        <v>18</v>
      </c>
      <c r="U21" s="134">
        <v>12</v>
      </c>
      <c r="V21" s="134">
        <v>9</v>
      </c>
      <c r="W21" s="134">
        <v>3</v>
      </c>
    </row>
    <row r="22" spans="1:23">
      <c r="A22" s="134" t="s">
        <v>387</v>
      </c>
      <c r="B22" s="134" t="s">
        <v>397</v>
      </c>
      <c r="C22" s="134" t="s">
        <v>411</v>
      </c>
      <c r="D22" s="134">
        <v>32</v>
      </c>
      <c r="E22" s="134">
        <v>61</v>
      </c>
      <c r="F22" s="134">
        <v>97</v>
      </c>
      <c r="G22" s="134">
        <v>212</v>
      </c>
      <c r="H22" s="134">
        <v>0</v>
      </c>
      <c r="I22" s="134">
        <v>0</v>
      </c>
      <c r="J22" s="134">
        <v>0</v>
      </c>
      <c r="K22" s="134">
        <v>0</v>
      </c>
      <c r="L22" s="134">
        <v>6</v>
      </c>
      <c r="M22" s="134">
        <v>14</v>
      </c>
      <c r="N22" s="134">
        <v>1</v>
      </c>
      <c r="O22" s="134">
        <v>0</v>
      </c>
      <c r="P22" s="136">
        <v>1</v>
      </c>
      <c r="Q22" s="136">
        <v>0</v>
      </c>
      <c r="R22" s="134">
        <v>9</v>
      </c>
      <c r="S22" s="134">
        <v>31</v>
      </c>
      <c r="T22" s="134">
        <v>0</v>
      </c>
      <c r="U22" s="134">
        <v>0</v>
      </c>
      <c r="V22" s="134">
        <v>0</v>
      </c>
      <c r="W22" s="134">
        <v>0</v>
      </c>
    </row>
    <row r="23" spans="1:23">
      <c r="A23" s="134" t="s">
        <v>387</v>
      </c>
      <c r="B23" s="134" t="s">
        <v>397</v>
      </c>
      <c r="C23" s="134" t="s">
        <v>412</v>
      </c>
      <c r="D23" s="134">
        <v>18</v>
      </c>
      <c r="E23" s="134">
        <v>73</v>
      </c>
      <c r="F23" s="134">
        <v>62</v>
      </c>
      <c r="G23" s="134">
        <v>264</v>
      </c>
      <c r="H23" s="134">
        <v>0</v>
      </c>
      <c r="I23" s="134">
        <v>0</v>
      </c>
      <c r="J23" s="134">
        <v>0</v>
      </c>
      <c r="K23" s="134">
        <v>0</v>
      </c>
      <c r="L23" s="134">
        <v>0</v>
      </c>
      <c r="M23" s="134">
        <v>7</v>
      </c>
      <c r="N23" s="134">
        <v>2</v>
      </c>
      <c r="O23" s="134">
        <v>1</v>
      </c>
      <c r="P23" s="136">
        <v>0</v>
      </c>
      <c r="Q23" s="136">
        <v>1</v>
      </c>
      <c r="R23" s="134">
        <v>2</v>
      </c>
      <c r="S23" s="134">
        <v>49</v>
      </c>
      <c r="T23" s="134">
        <v>0</v>
      </c>
      <c r="U23" s="134">
        <v>0</v>
      </c>
      <c r="V23" s="134">
        <v>0</v>
      </c>
      <c r="W23" s="134">
        <v>0</v>
      </c>
    </row>
    <row r="24" spans="1:23">
      <c r="A24" s="134" t="s">
        <v>387</v>
      </c>
      <c r="B24" s="134" t="s">
        <v>402</v>
      </c>
      <c r="C24" s="134" t="s">
        <v>413</v>
      </c>
      <c r="D24" s="134">
        <v>100</v>
      </c>
      <c r="E24" s="134">
        <v>104</v>
      </c>
      <c r="F24" s="134">
        <v>418</v>
      </c>
      <c r="G24" s="134">
        <v>381</v>
      </c>
      <c r="H24" s="134">
        <v>0</v>
      </c>
      <c r="I24" s="134">
        <v>0</v>
      </c>
      <c r="J24" s="134">
        <v>13</v>
      </c>
      <c r="K24" s="134">
        <v>10</v>
      </c>
      <c r="L24" s="134">
        <v>16</v>
      </c>
      <c r="M24" s="134">
        <v>13</v>
      </c>
      <c r="N24" s="134">
        <v>4</v>
      </c>
      <c r="O24" s="134">
        <v>4</v>
      </c>
      <c r="P24" s="136">
        <v>0</v>
      </c>
      <c r="Q24" s="136">
        <v>0</v>
      </c>
      <c r="R24" s="134">
        <v>17</v>
      </c>
      <c r="S24" s="134">
        <v>32</v>
      </c>
      <c r="T24" s="134">
        <v>0</v>
      </c>
      <c r="U24" s="134">
        <v>0</v>
      </c>
      <c r="V24" s="134">
        <v>15</v>
      </c>
      <c r="W24" s="134">
        <v>17</v>
      </c>
    </row>
    <row r="25" spans="1:23">
      <c r="A25" s="134" t="s">
        <v>387</v>
      </c>
      <c r="B25" s="134" t="s">
        <v>402</v>
      </c>
      <c r="C25" s="134" t="s">
        <v>414</v>
      </c>
      <c r="D25" s="134">
        <v>102</v>
      </c>
      <c r="E25" s="134">
        <v>103</v>
      </c>
      <c r="F25" s="134">
        <v>513</v>
      </c>
      <c r="G25" s="134">
        <v>481</v>
      </c>
      <c r="H25" s="134">
        <v>1</v>
      </c>
      <c r="I25" s="134">
        <v>0</v>
      </c>
      <c r="J25" s="134">
        <v>8</v>
      </c>
      <c r="K25" s="134">
        <v>3</v>
      </c>
      <c r="L25" s="134">
        <v>32</v>
      </c>
      <c r="M25" s="134">
        <v>31</v>
      </c>
      <c r="N25" s="134">
        <v>9</v>
      </c>
      <c r="O25" s="134">
        <v>5</v>
      </c>
      <c r="P25" s="136">
        <v>5</v>
      </c>
      <c r="Q25" s="136">
        <v>8</v>
      </c>
      <c r="R25" s="134">
        <v>12</v>
      </c>
      <c r="S25" s="134">
        <v>24</v>
      </c>
      <c r="T25" s="134">
        <v>0</v>
      </c>
      <c r="U25" s="134">
        <v>0</v>
      </c>
      <c r="V25" s="134">
        <v>8</v>
      </c>
      <c r="W25" s="134">
        <v>17</v>
      </c>
    </row>
    <row r="26" spans="1:23">
      <c r="A26" s="134" t="s">
        <v>387</v>
      </c>
      <c r="B26" s="134" t="s">
        <v>214</v>
      </c>
      <c r="C26" s="134" t="s">
        <v>415</v>
      </c>
      <c r="D26" s="134">
        <v>31</v>
      </c>
      <c r="E26" s="134">
        <v>48</v>
      </c>
      <c r="F26" s="134">
        <v>236</v>
      </c>
      <c r="G26" s="134">
        <v>237</v>
      </c>
      <c r="H26" s="134">
        <v>2</v>
      </c>
      <c r="I26" s="134">
        <v>0</v>
      </c>
      <c r="J26" s="134">
        <v>0</v>
      </c>
      <c r="K26" s="134">
        <v>0</v>
      </c>
      <c r="L26" s="134">
        <v>5</v>
      </c>
      <c r="M26" s="134">
        <v>4</v>
      </c>
      <c r="N26" s="134">
        <v>8</v>
      </c>
      <c r="O26" s="134">
        <v>1</v>
      </c>
      <c r="P26" s="136">
        <v>0</v>
      </c>
      <c r="Q26" s="136">
        <v>0</v>
      </c>
      <c r="R26" s="134">
        <v>4</v>
      </c>
      <c r="S26" s="134">
        <v>7</v>
      </c>
      <c r="T26" s="134">
        <v>3</v>
      </c>
      <c r="U26" s="134">
        <v>3</v>
      </c>
      <c r="V26" s="134">
        <v>0</v>
      </c>
      <c r="W26" s="134">
        <v>0</v>
      </c>
    </row>
    <row r="27" spans="1:23">
      <c r="A27" s="134" t="s">
        <v>387</v>
      </c>
      <c r="B27" s="134" t="s">
        <v>214</v>
      </c>
      <c r="C27" s="134" t="s">
        <v>416</v>
      </c>
      <c r="D27" s="134">
        <v>21</v>
      </c>
      <c r="E27" s="134">
        <v>14</v>
      </c>
      <c r="F27" s="134">
        <v>111</v>
      </c>
      <c r="G27" s="134">
        <v>143</v>
      </c>
      <c r="H27" s="134">
        <v>0</v>
      </c>
      <c r="I27" s="134">
        <v>0</v>
      </c>
      <c r="J27" s="134">
        <v>0</v>
      </c>
      <c r="K27" s="134">
        <v>0</v>
      </c>
      <c r="L27" s="134">
        <v>8</v>
      </c>
      <c r="M27" s="134">
        <v>6</v>
      </c>
      <c r="N27" s="134">
        <v>5</v>
      </c>
      <c r="O27" s="134">
        <v>0</v>
      </c>
      <c r="P27" s="136">
        <v>1</v>
      </c>
      <c r="Q27" s="136">
        <v>0</v>
      </c>
      <c r="R27" s="134">
        <v>0</v>
      </c>
      <c r="S27" s="134">
        <v>0</v>
      </c>
      <c r="T27" s="134">
        <v>0</v>
      </c>
      <c r="U27" s="134">
        <v>0</v>
      </c>
      <c r="V27" s="134">
        <v>0</v>
      </c>
      <c r="W27" s="134">
        <v>0</v>
      </c>
    </row>
    <row r="28" spans="1:23">
      <c r="A28" s="134" t="s">
        <v>387</v>
      </c>
      <c r="B28" s="134" t="s">
        <v>220</v>
      </c>
      <c r="C28" s="134" t="s">
        <v>294</v>
      </c>
      <c r="D28" s="134">
        <v>51</v>
      </c>
      <c r="E28" s="134">
        <v>107</v>
      </c>
      <c r="F28" s="134">
        <v>124</v>
      </c>
      <c r="G28" s="134">
        <v>394</v>
      </c>
      <c r="H28" s="134">
        <v>2</v>
      </c>
      <c r="I28" s="134">
        <v>9</v>
      </c>
      <c r="J28" s="134">
        <v>0</v>
      </c>
      <c r="K28" s="134">
        <v>0</v>
      </c>
      <c r="L28" s="134">
        <v>14</v>
      </c>
      <c r="M28" s="134">
        <v>66</v>
      </c>
      <c r="N28" s="134">
        <v>4</v>
      </c>
      <c r="O28" s="134">
        <v>6</v>
      </c>
      <c r="P28" s="136">
        <v>0</v>
      </c>
      <c r="Q28" s="136">
        <v>0</v>
      </c>
      <c r="R28" s="134">
        <v>28</v>
      </c>
      <c r="S28" s="134">
        <v>164</v>
      </c>
      <c r="T28" s="134">
        <v>21</v>
      </c>
      <c r="U28" s="134">
        <v>103</v>
      </c>
      <c r="V28" s="134">
        <v>1</v>
      </c>
      <c r="W28" s="134">
        <v>3</v>
      </c>
    </row>
    <row r="29" spans="1:23">
      <c r="A29" s="134" t="s">
        <v>387</v>
      </c>
      <c r="B29" s="134" t="s">
        <v>220</v>
      </c>
      <c r="C29" s="134" t="s">
        <v>417</v>
      </c>
      <c r="D29" s="134">
        <v>17</v>
      </c>
      <c r="E29" s="134">
        <v>62</v>
      </c>
      <c r="F29" s="134">
        <v>64</v>
      </c>
      <c r="G29" s="134">
        <v>212</v>
      </c>
      <c r="H29" s="134">
        <v>0</v>
      </c>
      <c r="I29" s="134">
        <v>0</v>
      </c>
      <c r="J29" s="134">
        <v>0</v>
      </c>
      <c r="K29" s="134">
        <v>0</v>
      </c>
      <c r="L29" s="134">
        <v>11</v>
      </c>
      <c r="M29" s="134">
        <v>33</v>
      </c>
      <c r="N29" s="134">
        <v>1</v>
      </c>
      <c r="O29" s="134">
        <v>2</v>
      </c>
      <c r="P29" s="136">
        <v>0</v>
      </c>
      <c r="Q29" s="136">
        <v>0</v>
      </c>
      <c r="R29" s="134">
        <v>2</v>
      </c>
      <c r="S29" s="134">
        <v>44</v>
      </c>
      <c r="T29" s="134">
        <v>0</v>
      </c>
      <c r="U29" s="134">
        <v>0</v>
      </c>
      <c r="V29" s="134">
        <v>0</v>
      </c>
      <c r="W29" s="134">
        <v>0</v>
      </c>
    </row>
    <row r="30" spans="1:23">
      <c r="A30" s="134" t="s">
        <v>387</v>
      </c>
      <c r="B30" s="134" t="s">
        <v>220</v>
      </c>
      <c r="C30" s="134" t="s">
        <v>418</v>
      </c>
      <c r="D30" s="134">
        <v>37</v>
      </c>
      <c r="E30" s="134">
        <v>29</v>
      </c>
      <c r="F30" s="134">
        <v>202</v>
      </c>
      <c r="G30" s="134">
        <v>199</v>
      </c>
      <c r="H30" s="134">
        <v>0</v>
      </c>
      <c r="I30" s="134">
        <v>3</v>
      </c>
      <c r="J30" s="134">
        <v>0</v>
      </c>
      <c r="K30" s="134">
        <v>0</v>
      </c>
      <c r="L30" s="134">
        <v>26</v>
      </c>
      <c r="M30" s="134">
        <v>22</v>
      </c>
      <c r="N30" s="134">
        <v>1</v>
      </c>
      <c r="O30" s="134">
        <v>2</v>
      </c>
      <c r="P30" s="136">
        <v>0</v>
      </c>
      <c r="Q30" s="136">
        <v>0</v>
      </c>
      <c r="R30" s="134">
        <v>23</v>
      </c>
      <c r="S30" s="134">
        <v>23</v>
      </c>
      <c r="T30" s="134">
        <v>25</v>
      </c>
      <c r="U30" s="134">
        <v>21</v>
      </c>
      <c r="V30" s="134">
        <v>1</v>
      </c>
      <c r="W30" s="134">
        <v>0</v>
      </c>
    </row>
    <row r="31" spans="1:23">
      <c r="A31" s="134" t="s">
        <v>387</v>
      </c>
      <c r="B31" s="134" t="s">
        <v>419</v>
      </c>
      <c r="C31" s="134" t="s">
        <v>420</v>
      </c>
      <c r="D31" s="134">
        <v>21</v>
      </c>
      <c r="E31" s="134">
        <v>1</v>
      </c>
      <c r="F31" s="134">
        <v>268</v>
      </c>
      <c r="G31" s="134">
        <v>59</v>
      </c>
      <c r="H31" s="134">
        <v>1</v>
      </c>
      <c r="I31" s="134">
        <v>0</v>
      </c>
      <c r="J31" s="134">
        <v>0</v>
      </c>
      <c r="K31" s="134">
        <v>0</v>
      </c>
      <c r="L31" s="134">
        <v>5</v>
      </c>
      <c r="M31" s="134">
        <v>3</v>
      </c>
      <c r="N31" s="134">
        <v>5</v>
      </c>
      <c r="O31" s="134">
        <v>1</v>
      </c>
      <c r="P31" s="136">
        <v>0</v>
      </c>
      <c r="Q31" s="136">
        <v>0</v>
      </c>
      <c r="R31" s="134">
        <v>14</v>
      </c>
      <c r="S31" s="134">
        <v>3</v>
      </c>
      <c r="T31" s="134">
        <v>1</v>
      </c>
      <c r="U31" s="134">
        <v>0</v>
      </c>
      <c r="V31" s="134">
        <v>0</v>
      </c>
      <c r="W31" s="134">
        <v>0</v>
      </c>
    </row>
    <row r="32" spans="1:23">
      <c r="A32" s="134" t="s">
        <v>387</v>
      </c>
      <c r="B32" s="134" t="s">
        <v>419</v>
      </c>
      <c r="C32" s="134" t="s">
        <v>421</v>
      </c>
      <c r="D32" s="134">
        <v>17</v>
      </c>
      <c r="E32" s="134">
        <v>22</v>
      </c>
      <c r="F32" s="134">
        <v>130</v>
      </c>
      <c r="G32" s="134">
        <v>214</v>
      </c>
      <c r="H32" s="134">
        <v>0</v>
      </c>
      <c r="I32" s="134">
        <v>0</v>
      </c>
      <c r="J32" s="134">
        <v>0</v>
      </c>
      <c r="K32" s="134">
        <v>0</v>
      </c>
      <c r="L32" s="134">
        <v>0</v>
      </c>
      <c r="M32" s="134">
        <v>4</v>
      </c>
      <c r="N32" s="134">
        <v>0</v>
      </c>
      <c r="O32" s="134">
        <v>0</v>
      </c>
      <c r="P32" s="136">
        <v>0</v>
      </c>
      <c r="Q32" s="136">
        <v>0</v>
      </c>
      <c r="R32" s="134">
        <v>5</v>
      </c>
      <c r="S32" s="134">
        <v>18</v>
      </c>
      <c r="T32" s="134">
        <v>0</v>
      </c>
      <c r="U32" s="134">
        <v>0</v>
      </c>
      <c r="V32" s="134">
        <v>0</v>
      </c>
      <c r="W32" s="134">
        <v>0</v>
      </c>
    </row>
    <row r="33" spans="1:23">
      <c r="A33" s="134" t="s">
        <v>387</v>
      </c>
      <c r="B33" s="134" t="s">
        <v>419</v>
      </c>
      <c r="C33" s="134" t="s">
        <v>422</v>
      </c>
      <c r="D33" s="134">
        <v>239</v>
      </c>
      <c r="E33" s="134">
        <v>54</v>
      </c>
      <c r="F33" s="134">
        <v>896</v>
      </c>
      <c r="G33" s="134">
        <v>195</v>
      </c>
      <c r="H33" s="134">
        <v>0</v>
      </c>
      <c r="I33" s="134">
        <v>0</v>
      </c>
      <c r="J33" s="134">
        <v>0</v>
      </c>
      <c r="K33" s="134">
        <v>0</v>
      </c>
      <c r="L33" s="134">
        <v>0</v>
      </c>
      <c r="M33" s="134">
        <v>0</v>
      </c>
      <c r="N33" s="134">
        <v>15</v>
      </c>
      <c r="O33" s="134">
        <v>3</v>
      </c>
      <c r="P33" s="136">
        <v>0</v>
      </c>
      <c r="Q33" s="136">
        <v>0</v>
      </c>
      <c r="R33" s="134">
        <v>7</v>
      </c>
      <c r="S33" s="134">
        <v>4</v>
      </c>
      <c r="T33" s="134">
        <v>2</v>
      </c>
      <c r="U33" s="134">
        <v>2</v>
      </c>
      <c r="V33" s="134">
        <v>0</v>
      </c>
      <c r="W33" s="134">
        <v>0</v>
      </c>
    </row>
    <row r="34" spans="1:23">
      <c r="A34" s="134" t="s">
        <v>387</v>
      </c>
      <c r="B34" s="134" t="s">
        <v>214</v>
      </c>
      <c r="C34" s="134" t="s">
        <v>423</v>
      </c>
      <c r="D34" s="134">
        <v>21</v>
      </c>
      <c r="E34" s="134">
        <v>69</v>
      </c>
      <c r="F34" s="134">
        <v>91</v>
      </c>
      <c r="G34" s="134">
        <v>297</v>
      </c>
      <c r="H34" s="134">
        <v>0</v>
      </c>
      <c r="I34" s="134">
        <v>0</v>
      </c>
      <c r="J34" s="134">
        <v>0</v>
      </c>
      <c r="K34" s="134">
        <v>0</v>
      </c>
      <c r="L34" s="134">
        <v>3</v>
      </c>
      <c r="M34" s="134">
        <v>18</v>
      </c>
      <c r="N34" s="134">
        <v>1</v>
      </c>
      <c r="O34" s="134">
        <v>2</v>
      </c>
      <c r="P34" s="136">
        <v>0</v>
      </c>
      <c r="Q34" s="136">
        <v>0</v>
      </c>
      <c r="R34" s="134">
        <v>2</v>
      </c>
      <c r="S34" s="134">
        <v>1</v>
      </c>
      <c r="T34" s="134">
        <v>3</v>
      </c>
      <c r="U34" s="134">
        <v>3</v>
      </c>
      <c r="V34" s="134">
        <v>0</v>
      </c>
      <c r="W34" s="134">
        <v>0</v>
      </c>
    </row>
    <row r="35" spans="1:23">
      <c r="A35" s="134" t="s">
        <v>387</v>
      </c>
      <c r="B35" s="134" t="s">
        <v>419</v>
      </c>
      <c r="C35" s="134" t="s">
        <v>424</v>
      </c>
      <c r="D35" s="134">
        <v>84</v>
      </c>
      <c r="E35" s="134">
        <v>107</v>
      </c>
      <c r="F35" s="134">
        <v>303</v>
      </c>
      <c r="G35" s="134">
        <v>378</v>
      </c>
      <c r="H35" s="134">
        <v>1</v>
      </c>
      <c r="I35" s="134">
        <v>0</v>
      </c>
      <c r="J35" s="134">
        <v>0</v>
      </c>
      <c r="K35" s="134">
        <v>0</v>
      </c>
      <c r="L35" s="134">
        <v>23</v>
      </c>
      <c r="M35" s="134">
        <v>49</v>
      </c>
      <c r="N35" s="134">
        <v>5</v>
      </c>
      <c r="O35" s="134">
        <v>3</v>
      </c>
      <c r="P35" s="136">
        <v>0</v>
      </c>
      <c r="Q35" s="136">
        <v>0</v>
      </c>
      <c r="R35" s="134">
        <v>2</v>
      </c>
      <c r="S35" s="134">
        <v>0</v>
      </c>
      <c r="T35" s="134">
        <v>1</v>
      </c>
      <c r="U35" s="134">
        <v>2</v>
      </c>
      <c r="V35" s="134">
        <v>0</v>
      </c>
      <c r="W35" s="134">
        <v>0</v>
      </c>
    </row>
    <row r="36" spans="1:23">
      <c r="A36" s="134" t="s">
        <v>387</v>
      </c>
      <c r="B36" s="134" t="s">
        <v>393</v>
      </c>
      <c r="C36" s="134" t="s">
        <v>425</v>
      </c>
      <c r="D36" s="134">
        <v>21</v>
      </c>
      <c r="E36" s="134">
        <v>96</v>
      </c>
      <c r="F36" s="134">
        <v>89</v>
      </c>
      <c r="G36" s="134">
        <v>329</v>
      </c>
      <c r="H36" s="134">
        <v>1</v>
      </c>
      <c r="I36" s="134">
        <v>0</v>
      </c>
      <c r="J36" s="134">
        <v>1</v>
      </c>
      <c r="K36" s="134">
        <v>0</v>
      </c>
      <c r="L36" s="134">
        <v>5</v>
      </c>
      <c r="M36" s="134">
        <v>18</v>
      </c>
      <c r="N36" s="134">
        <v>7</v>
      </c>
      <c r="O36" s="134">
        <v>9</v>
      </c>
      <c r="P36" s="136">
        <v>0</v>
      </c>
      <c r="Q36" s="136">
        <v>0</v>
      </c>
      <c r="R36" s="134">
        <v>10</v>
      </c>
      <c r="S36" s="134">
        <v>35</v>
      </c>
      <c r="T36" s="134">
        <v>3</v>
      </c>
      <c r="U36" s="134">
        <v>8</v>
      </c>
      <c r="V36" s="134">
        <v>1</v>
      </c>
      <c r="W36" s="134">
        <v>2</v>
      </c>
    </row>
    <row r="37" spans="1:23">
      <c r="A37" s="134" t="s">
        <v>387</v>
      </c>
      <c r="B37" s="134" t="s">
        <v>407</v>
      </c>
      <c r="C37" s="134" t="s">
        <v>426</v>
      </c>
      <c r="D37" s="134">
        <v>29</v>
      </c>
      <c r="E37" s="134">
        <v>16</v>
      </c>
      <c r="F37" s="134">
        <v>122</v>
      </c>
      <c r="G37" s="134">
        <v>66</v>
      </c>
      <c r="H37" s="134">
        <v>0</v>
      </c>
      <c r="I37" s="134">
        <v>0</v>
      </c>
      <c r="J37" s="134">
        <v>0</v>
      </c>
      <c r="K37" s="134">
        <v>0</v>
      </c>
      <c r="L37" s="134">
        <v>8</v>
      </c>
      <c r="M37" s="134">
        <v>0</v>
      </c>
      <c r="N37" s="134">
        <v>1</v>
      </c>
      <c r="O37" s="134">
        <v>0</v>
      </c>
      <c r="P37" s="136">
        <v>0</v>
      </c>
      <c r="Q37" s="136">
        <v>0</v>
      </c>
      <c r="R37" s="134">
        <v>3</v>
      </c>
      <c r="S37" s="134">
        <v>1</v>
      </c>
      <c r="T37" s="134">
        <v>0</v>
      </c>
      <c r="U37" s="134">
        <v>0</v>
      </c>
      <c r="V37" s="134">
        <v>0</v>
      </c>
      <c r="W37" s="134">
        <v>0</v>
      </c>
    </row>
    <row r="38" spans="1:23">
      <c r="A38" s="134" t="s">
        <v>387</v>
      </c>
      <c r="B38" s="134" t="s">
        <v>407</v>
      </c>
      <c r="C38" s="134" t="s">
        <v>427</v>
      </c>
      <c r="D38" s="134">
        <v>25</v>
      </c>
      <c r="E38" s="134">
        <v>26</v>
      </c>
      <c r="F38" s="134">
        <v>104</v>
      </c>
      <c r="G38" s="134">
        <v>119</v>
      </c>
      <c r="H38" s="134">
        <v>0</v>
      </c>
      <c r="I38" s="134">
        <v>0</v>
      </c>
      <c r="J38" s="134">
        <v>0</v>
      </c>
      <c r="K38" s="134">
        <v>0</v>
      </c>
      <c r="L38" s="134">
        <v>9</v>
      </c>
      <c r="M38" s="134">
        <v>2</v>
      </c>
      <c r="N38" s="134">
        <v>1</v>
      </c>
      <c r="O38" s="134">
        <v>0</v>
      </c>
      <c r="P38" s="136">
        <v>0</v>
      </c>
      <c r="Q38" s="136">
        <v>0</v>
      </c>
      <c r="R38" s="134">
        <v>1</v>
      </c>
      <c r="S38" s="134">
        <v>11</v>
      </c>
      <c r="T38" s="134">
        <v>0</v>
      </c>
      <c r="U38" s="134">
        <v>0</v>
      </c>
      <c r="V38" s="134">
        <v>0</v>
      </c>
      <c r="W38" s="134">
        <v>0</v>
      </c>
    </row>
    <row r="39" spans="1:23">
      <c r="A39" s="134" t="s">
        <v>428</v>
      </c>
      <c r="B39" s="134" t="s">
        <v>429</v>
      </c>
      <c r="C39" s="134" t="s">
        <v>430</v>
      </c>
      <c r="D39" s="134">
        <v>0</v>
      </c>
      <c r="E39" s="134">
        <v>0</v>
      </c>
      <c r="F39" s="134">
        <v>0</v>
      </c>
      <c r="G39" s="134">
        <v>0</v>
      </c>
      <c r="H39" s="134">
        <v>32</v>
      </c>
      <c r="I39" s="134">
        <v>46</v>
      </c>
      <c r="J39" s="134">
        <v>212</v>
      </c>
      <c r="K39" s="134">
        <v>135</v>
      </c>
      <c r="L39" s="134">
        <v>0</v>
      </c>
      <c r="M39" s="134">
        <v>0</v>
      </c>
      <c r="N39" s="134">
        <v>0</v>
      </c>
      <c r="O39" s="134">
        <v>0</v>
      </c>
      <c r="P39" s="136">
        <v>0</v>
      </c>
      <c r="Q39" s="136">
        <v>0</v>
      </c>
      <c r="R39" s="134">
        <v>0</v>
      </c>
      <c r="S39" s="134">
        <v>0</v>
      </c>
      <c r="T39" s="134">
        <v>3</v>
      </c>
      <c r="U39" s="134">
        <v>3</v>
      </c>
      <c r="V39" s="134">
        <v>0</v>
      </c>
      <c r="W39" s="134">
        <v>1</v>
      </c>
    </row>
    <row r="40" spans="1:23">
      <c r="A40" s="134" t="s">
        <v>428</v>
      </c>
      <c r="B40" s="134" t="s">
        <v>429</v>
      </c>
      <c r="C40" s="134" t="s">
        <v>431</v>
      </c>
      <c r="D40" s="134">
        <v>0</v>
      </c>
      <c r="E40" s="134">
        <v>0</v>
      </c>
      <c r="F40" s="134">
        <v>2</v>
      </c>
      <c r="G40" s="134">
        <v>0</v>
      </c>
      <c r="H40" s="134">
        <v>21</v>
      </c>
      <c r="I40" s="134">
        <v>21</v>
      </c>
      <c r="J40" s="134">
        <v>54</v>
      </c>
      <c r="K40" s="134">
        <v>124</v>
      </c>
      <c r="L40" s="134">
        <v>0</v>
      </c>
      <c r="M40" s="134">
        <v>0</v>
      </c>
      <c r="N40" s="134">
        <v>0</v>
      </c>
      <c r="O40" s="134">
        <v>0</v>
      </c>
      <c r="P40" s="136">
        <v>0</v>
      </c>
      <c r="Q40" s="136">
        <v>0</v>
      </c>
      <c r="R40" s="134">
        <v>1</v>
      </c>
      <c r="S40" s="134">
        <v>0</v>
      </c>
      <c r="T40" s="134">
        <v>9</v>
      </c>
      <c r="U40" s="134">
        <v>15</v>
      </c>
      <c r="V40" s="134">
        <v>4</v>
      </c>
      <c r="W40" s="134">
        <v>13</v>
      </c>
    </row>
    <row r="41" spans="1:23">
      <c r="A41" s="134" t="s">
        <v>428</v>
      </c>
      <c r="B41" s="134" t="s">
        <v>429</v>
      </c>
      <c r="C41" s="134" t="s">
        <v>432</v>
      </c>
      <c r="D41" s="134">
        <v>0</v>
      </c>
      <c r="E41" s="134">
        <v>0</v>
      </c>
      <c r="F41" s="134">
        <v>0</v>
      </c>
      <c r="G41" s="134">
        <v>0</v>
      </c>
      <c r="H41" s="134">
        <v>229</v>
      </c>
      <c r="I41" s="134">
        <v>149</v>
      </c>
      <c r="J41" s="134">
        <v>1018</v>
      </c>
      <c r="K41" s="134">
        <v>807</v>
      </c>
      <c r="L41" s="134">
        <v>0</v>
      </c>
      <c r="M41" s="134">
        <v>0</v>
      </c>
      <c r="N41" s="134">
        <v>0</v>
      </c>
      <c r="O41" s="134">
        <v>0</v>
      </c>
      <c r="P41" s="136">
        <v>0</v>
      </c>
      <c r="Q41" s="136">
        <v>0</v>
      </c>
      <c r="R41" s="134">
        <v>0</v>
      </c>
      <c r="S41" s="134">
        <v>0</v>
      </c>
      <c r="T41" s="134">
        <v>44</v>
      </c>
      <c r="U41" s="134">
        <v>63</v>
      </c>
      <c r="V41" s="134">
        <v>57</v>
      </c>
      <c r="W41" s="134">
        <v>31</v>
      </c>
    </row>
    <row r="42" spans="1:23">
      <c r="A42" s="134" t="s">
        <v>428</v>
      </c>
      <c r="B42" s="134" t="s">
        <v>429</v>
      </c>
      <c r="C42" s="134" t="s">
        <v>433</v>
      </c>
      <c r="D42" s="134">
        <v>0</v>
      </c>
      <c r="E42" s="134">
        <v>0</v>
      </c>
      <c r="F42" s="134">
        <v>0</v>
      </c>
      <c r="G42" s="134">
        <v>0</v>
      </c>
      <c r="H42" s="134">
        <v>88</v>
      </c>
      <c r="I42" s="134">
        <v>12</v>
      </c>
      <c r="J42" s="134">
        <v>728</v>
      </c>
      <c r="K42" s="134">
        <v>51</v>
      </c>
      <c r="L42" s="134">
        <v>0</v>
      </c>
      <c r="M42" s="134">
        <v>0</v>
      </c>
      <c r="N42" s="134">
        <v>0</v>
      </c>
      <c r="O42" s="134">
        <v>0</v>
      </c>
      <c r="P42" s="136">
        <v>0</v>
      </c>
      <c r="Q42" s="136">
        <v>0</v>
      </c>
      <c r="R42" s="134">
        <v>0</v>
      </c>
      <c r="S42" s="134">
        <v>0</v>
      </c>
      <c r="T42" s="134">
        <v>48</v>
      </c>
      <c r="U42" s="134">
        <v>9</v>
      </c>
      <c r="V42" s="134">
        <v>40</v>
      </c>
      <c r="W42" s="134">
        <v>1</v>
      </c>
    </row>
    <row r="43" spans="1:23">
      <c r="A43" s="134" t="s">
        <v>428</v>
      </c>
      <c r="B43" s="134" t="s">
        <v>429</v>
      </c>
      <c r="C43" s="134" t="s">
        <v>434</v>
      </c>
      <c r="D43" s="134">
        <v>0</v>
      </c>
      <c r="E43" s="134">
        <v>0</v>
      </c>
      <c r="F43" s="134">
        <v>0</v>
      </c>
      <c r="G43" s="134">
        <v>0</v>
      </c>
      <c r="H43" s="134">
        <v>133</v>
      </c>
      <c r="I43" s="134">
        <v>10</v>
      </c>
      <c r="J43" s="134">
        <v>827</v>
      </c>
      <c r="K43" s="134">
        <v>100</v>
      </c>
      <c r="L43" s="134">
        <v>0</v>
      </c>
      <c r="M43" s="134">
        <v>0</v>
      </c>
      <c r="N43" s="134">
        <v>0</v>
      </c>
      <c r="O43" s="134">
        <v>0</v>
      </c>
      <c r="P43" s="136">
        <v>0</v>
      </c>
      <c r="Q43" s="136">
        <v>0</v>
      </c>
      <c r="R43" s="134">
        <v>0</v>
      </c>
      <c r="S43" s="134">
        <v>0</v>
      </c>
      <c r="T43" s="134">
        <v>22</v>
      </c>
      <c r="U43" s="134">
        <v>5</v>
      </c>
      <c r="V43" s="134">
        <v>23</v>
      </c>
      <c r="W43" s="134">
        <v>0</v>
      </c>
    </row>
    <row r="44" spans="1:23">
      <c r="A44" s="134" t="s">
        <v>428</v>
      </c>
      <c r="B44" s="134" t="s">
        <v>429</v>
      </c>
      <c r="C44" s="134" t="s">
        <v>435</v>
      </c>
      <c r="D44" s="134">
        <v>0</v>
      </c>
      <c r="E44" s="134">
        <v>0</v>
      </c>
      <c r="F44" s="134">
        <v>0</v>
      </c>
      <c r="G44" s="134">
        <v>0</v>
      </c>
      <c r="H44" s="134">
        <v>134</v>
      </c>
      <c r="I44" s="134">
        <v>69</v>
      </c>
      <c r="J44" s="134">
        <v>512</v>
      </c>
      <c r="K44" s="134">
        <v>323</v>
      </c>
      <c r="L44" s="134">
        <v>0</v>
      </c>
      <c r="M44" s="134">
        <v>0</v>
      </c>
      <c r="N44" s="134">
        <v>0</v>
      </c>
      <c r="O44" s="134">
        <v>0</v>
      </c>
      <c r="P44" s="136">
        <v>0</v>
      </c>
      <c r="Q44" s="136">
        <v>0</v>
      </c>
      <c r="R44" s="134">
        <v>0</v>
      </c>
      <c r="S44" s="134">
        <v>0</v>
      </c>
      <c r="T44" s="134">
        <v>49</v>
      </c>
      <c r="U44" s="134">
        <v>42</v>
      </c>
      <c r="V44" s="134">
        <v>19</v>
      </c>
      <c r="W44" s="134">
        <v>14</v>
      </c>
    </row>
    <row r="45" spans="1:23">
      <c r="A45" s="134" t="s">
        <v>428</v>
      </c>
      <c r="B45" s="134" t="s">
        <v>429</v>
      </c>
      <c r="C45" s="134" t="s">
        <v>436</v>
      </c>
      <c r="D45" s="134">
        <v>0</v>
      </c>
      <c r="E45" s="134">
        <v>0</v>
      </c>
      <c r="F45" s="134">
        <v>0</v>
      </c>
      <c r="G45" s="134">
        <v>0</v>
      </c>
      <c r="H45" s="134">
        <v>322</v>
      </c>
      <c r="I45" s="134">
        <v>59</v>
      </c>
      <c r="J45" s="134">
        <v>1072</v>
      </c>
      <c r="K45" s="134">
        <v>286</v>
      </c>
      <c r="L45" s="134">
        <v>0</v>
      </c>
      <c r="M45" s="134">
        <v>0</v>
      </c>
      <c r="N45" s="134">
        <v>0</v>
      </c>
      <c r="O45" s="134">
        <v>0</v>
      </c>
      <c r="P45" s="136">
        <v>0</v>
      </c>
      <c r="Q45" s="136">
        <v>0</v>
      </c>
      <c r="R45" s="134">
        <v>0</v>
      </c>
      <c r="S45" s="134">
        <v>0</v>
      </c>
      <c r="T45" s="134">
        <v>29</v>
      </c>
      <c r="U45" s="134">
        <v>18</v>
      </c>
      <c r="V45" s="134">
        <v>76</v>
      </c>
      <c r="W45" s="134">
        <v>20</v>
      </c>
    </row>
    <row r="46" spans="1:23">
      <c r="A46" s="134" t="s">
        <v>428</v>
      </c>
      <c r="B46" s="134" t="s">
        <v>429</v>
      </c>
      <c r="C46" s="134" t="s">
        <v>437</v>
      </c>
      <c r="D46" s="134">
        <v>0</v>
      </c>
      <c r="E46" s="134">
        <v>0</v>
      </c>
      <c r="F46" s="134">
        <v>0</v>
      </c>
      <c r="G46" s="134">
        <v>0</v>
      </c>
      <c r="H46" s="134">
        <v>149</v>
      </c>
      <c r="I46" s="134">
        <v>20</v>
      </c>
      <c r="J46" s="134">
        <v>963</v>
      </c>
      <c r="K46" s="134">
        <v>312</v>
      </c>
      <c r="L46" s="134">
        <v>0</v>
      </c>
      <c r="M46" s="134">
        <v>0</v>
      </c>
      <c r="N46" s="134">
        <v>0</v>
      </c>
      <c r="O46" s="134">
        <v>0</v>
      </c>
      <c r="P46" s="136">
        <v>0</v>
      </c>
      <c r="Q46" s="136">
        <v>0</v>
      </c>
      <c r="R46" s="134">
        <v>0</v>
      </c>
      <c r="S46" s="134">
        <v>0</v>
      </c>
      <c r="T46" s="134">
        <v>44</v>
      </c>
      <c r="U46" s="134">
        <v>12</v>
      </c>
      <c r="V46" s="134">
        <v>76</v>
      </c>
      <c r="W46" s="134">
        <v>17</v>
      </c>
    </row>
    <row r="47" spans="1:23">
      <c r="A47" s="134" t="s">
        <v>428</v>
      </c>
      <c r="B47" s="134" t="s">
        <v>429</v>
      </c>
      <c r="C47" s="134" t="s">
        <v>438</v>
      </c>
      <c r="D47" s="134">
        <v>0</v>
      </c>
      <c r="E47" s="134">
        <v>0</v>
      </c>
      <c r="F47" s="134">
        <v>1</v>
      </c>
      <c r="G47" s="134">
        <v>0</v>
      </c>
      <c r="H47" s="134">
        <v>111</v>
      </c>
      <c r="I47" s="134">
        <v>9</v>
      </c>
      <c r="J47" s="134">
        <v>808</v>
      </c>
      <c r="K47" s="134">
        <v>65</v>
      </c>
      <c r="L47" s="134">
        <v>0</v>
      </c>
      <c r="M47" s="134">
        <v>0</v>
      </c>
      <c r="N47" s="134">
        <v>0</v>
      </c>
      <c r="O47" s="134">
        <v>0</v>
      </c>
      <c r="P47" s="136">
        <v>0</v>
      </c>
      <c r="Q47" s="136">
        <v>0</v>
      </c>
      <c r="R47" s="134">
        <v>0</v>
      </c>
      <c r="S47" s="134">
        <v>0</v>
      </c>
      <c r="T47" s="134">
        <v>56</v>
      </c>
      <c r="U47" s="134">
        <v>10</v>
      </c>
      <c r="V47" s="134">
        <v>46</v>
      </c>
      <c r="W47" s="134">
        <v>5</v>
      </c>
    </row>
    <row r="48" spans="1:23">
      <c r="A48" s="134" t="s">
        <v>428</v>
      </c>
      <c r="B48" s="134" t="s">
        <v>429</v>
      </c>
      <c r="C48" s="134" t="s">
        <v>439</v>
      </c>
      <c r="D48" s="134">
        <v>0</v>
      </c>
      <c r="E48" s="134">
        <v>0</v>
      </c>
      <c r="F48" s="134">
        <v>1</v>
      </c>
      <c r="G48" s="134">
        <v>0</v>
      </c>
      <c r="H48" s="134">
        <v>27</v>
      </c>
      <c r="I48" s="134">
        <v>32</v>
      </c>
      <c r="J48" s="134">
        <v>71</v>
      </c>
      <c r="K48" s="134">
        <v>229</v>
      </c>
      <c r="L48" s="134">
        <v>0</v>
      </c>
      <c r="M48" s="134">
        <v>0</v>
      </c>
      <c r="N48" s="134">
        <v>0</v>
      </c>
      <c r="O48" s="134">
        <v>0</v>
      </c>
      <c r="P48" s="136">
        <v>0</v>
      </c>
      <c r="Q48" s="136">
        <v>0</v>
      </c>
      <c r="R48" s="134">
        <v>0</v>
      </c>
      <c r="S48" s="134">
        <v>0</v>
      </c>
      <c r="T48" s="134">
        <v>6</v>
      </c>
      <c r="U48" s="134">
        <v>16</v>
      </c>
      <c r="V48" s="134">
        <v>3</v>
      </c>
      <c r="W48" s="134">
        <v>6</v>
      </c>
    </row>
    <row r="49" spans="1:23">
      <c r="A49" s="134" t="s">
        <v>428</v>
      </c>
      <c r="B49" s="134" t="s">
        <v>429</v>
      </c>
      <c r="C49" s="134" t="s">
        <v>440</v>
      </c>
      <c r="D49" s="134">
        <v>0</v>
      </c>
      <c r="E49" s="134">
        <v>0</v>
      </c>
      <c r="F49" s="134">
        <v>1</v>
      </c>
      <c r="G49" s="134">
        <v>0</v>
      </c>
      <c r="H49" s="134">
        <v>19</v>
      </c>
      <c r="I49" s="134">
        <v>30</v>
      </c>
      <c r="J49" s="134">
        <v>142</v>
      </c>
      <c r="K49" s="134">
        <v>429</v>
      </c>
      <c r="L49" s="134">
        <v>0</v>
      </c>
      <c r="M49" s="134">
        <v>0</v>
      </c>
      <c r="N49" s="134">
        <v>0</v>
      </c>
      <c r="O49" s="134">
        <v>0</v>
      </c>
      <c r="P49" s="136">
        <v>0</v>
      </c>
      <c r="Q49" s="136">
        <v>0</v>
      </c>
      <c r="R49" s="134">
        <v>0</v>
      </c>
      <c r="S49" s="134">
        <v>0</v>
      </c>
      <c r="T49" s="134">
        <v>8</v>
      </c>
      <c r="U49" s="134">
        <v>17</v>
      </c>
      <c r="V49" s="134">
        <v>5</v>
      </c>
      <c r="W49" s="134">
        <v>13</v>
      </c>
    </row>
    <row r="50" spans="1:23">
      <c r="A50" s="134" t="s">
        <v>428</v>
      </c>
      <c r="B50" s="134" t="s">
        <v>429</v>
      </c>
      <c r="C50" s="134" t="s">
        <v>441</v>
      </c>
      <c r="D50" s="134">
        <v>0</v>
      </c>
      <c r="E50" s="134">
        <v>0</v>
      </c>
      <c r="F50" s="134">
        <v>0</v>
      </c>
      <c r="G50" s="134">
        <v>0</v>
      </c>
      <c r="H50" s="134">
        <v>49</v>
      </c>
      <c r="I50" s="134">
        <v>50</v>
      </c>
      <c r="J50" s="134">
        <v>713</v>
      </c>
      <c r="K50" s="134">
        <v>389</v>
      </c>
      <c r="L50" s="134">
        <v>0</v>
      </c>
      <c r="M50" s="134">
        <v>0</v>
      </c>
      <c r="N50" s="134">
        <v>0</v>
      </c>
      <c r="O50" s="134">
        <v>0</v>
      </c>
      <c r="P50" s="136">
        <v>0</v>
      </c>
      <c r="Q50" s="136">
        <v>0</v>
      </c>
      <c r="R50" s="134">
        <v>0</v>
      </c>
      <c r="S50" s="134">
        <v>0</v>
      </c>
      <c r="T50" s="134">
        <v>14</v>
      </c>
      <c r="U50" s="134">
        <v>31</v>
      </c>
      <c r="V50" s="134">
        <v>8</v>
      </c>
      <c r="W50" s="134">
        <v>11</v>
      </c>
    </row>
    <row r="51" spans="1:23">
      <c r="A51" s="134" t="s">
        <v>428</v>
      </c>
      <c r="B51" s="134" t="s">
        <v>429</v>
      </c>
      <c r="C51" s="134" t="s">
        <v>442</v>
      </c>
      <c r="D51" s="134">
        <v>0</v>
      </c>
      <c r="E51" s="134">
        <v>0</v>
      </c>
      <c r="F51" s="134">
        <v>0</v>
      </c>
      <c r="G51" s="134">
        <v>0</v>
      </c>
      <c r="H51" s="134">
        <v>28</v>
      </c>
      <c r="I51" s="134">
        <v>25</v>
      </c>
      <c r="J51" s="134">
        <v>103</v>
      </c>
      <c r="K51" s="134">
        <v>80</v>
      </c>
      <c r="L51" s="134">
        <v>0</v>
      </c>
      <c r="M51" s="134">
        <v>0</v>
      </c>
      <c r="N51" s="134">
        <v>0</v>
      </c>
      <c r="O51" s="134">
        <v>0</v>
      </c>
      <c r="P51" s="136">
        <v>0</v>
      </c>
      <c r="Q51" s="136">
        <v>0</v>
      </c>
      <c r="R51" s="134">
        <v>0</v>
      </c>
      <c r="S51" s="134">
        <v>0</v>
      </c>
      <c r="T51" s="134">
        <v>3</v>
      </c>
      <c r="U51" s="134">
        <v>4</v>
      </c>
      <c r="V51" s="134">
        <v>7</v>
      </c>
      <c r="W51" s="134">
        <v>6</v>
      </c>
    </row>
    <row r="52" spans="1:23">
      <c r="A52" s="134" t="s">
        <v>428</v>
      </c>
      <c r="B52" s="134" t="s">
        <v>429</v>
      </c>
      <c r="C52" s="134" t="s">
        <v>443</v>
      </c>
      <c r="D52" s="134">
        <v>0</v>
      </c>
      <c r="E52" s="134">
        <v>0</v>
      </c>
      <c r="F52" s="134">
        <v>2</v>
      </c>
      <c r="G52" s="134">
        <v>0</v>
      </c>
      <c r="H52" s="134">
        <v>96</v>
      </c>
      <c r="I52" s="134">
        <v>56</v>
      </c>
      <c r="J52" s="134">
        <v>281</v>
      </c>
      <c r="K52" s="134">
        <v>212</v>
      </c>
      <c r="L52" s="134">
        <v>0</v>
      </c>
      <c r="M52" s="134">
        <v>0</v>
      </c>
      <c r="N52" s="134">
        <v>0</v>
      </c>
      <c r="O52" s="134">
        <v>0</v>
      </c>
      <c r="P52" s="136">
        <v>0</v>
      </c>
      <c r="Q52" s="136">
        <v>0</v>
      </c>
      <c r="R52" s="134">
        <v>0</v>
      </c>
      <c r="S52" s="134">
        <v>0</v>
      </c>
      <c r="T52" s="134">
        <v>11</v>
      </c>
      <c r="U52" s="134">
        <v>3</v>
      </c>
      <c r="V52" s="134">
        <v>19</v>
      </c>
      <c r="W52" s="134">
        <v>14</v>
      </c>
    </row>
    <row r="53" spans="1:23">
      <c r="A53" s="134" t="s">
        <v>428</v>
      </c>
      <c r="B53" s="134" t="s">
        <v>429</v>
      </c>
      <c r="C53" s="134" t="s">
        <v>444</v>
      </c>
      <c r="D53" s="134">
        <v>0</v>
      </c>
      <c r="E53" s="134">
        <v>0</v>
      </c>
      <c r="F53" s="134">
        <v>0</v>
      </c>
      <c r="G53" s="134">
        <v>0</v>
      </c>
      <c r="H53" s="134">
        <v>55</v>
      </c>
      <c r="I53" s="134">
        <v>52</v>
      </c>
      <c r="J53" s="134">
        <v>171</v>
      </c>
      <c r="K53" s="134">
        <v>160</v>
      </c>
      <c r="L53" s="134">
        <v>0</v>
      </c>
      <c r="M53" s="134">
        <v>0</v>
      </c>
      <c r="N53" s="134">
        <v>0</v>
      </c>
      <c r="O53" s="134">
        <v>0</v>
      </c>
      <c r="P53" s="136">
        <v>0</v>
      </c>
      <c r="Q53" s="136">
        <v>0</v>
      </c>
      <c r="R53" s="134">
        <v>0</v>
      </c>
      <c r="S53" s="134">
        <v>0</v>
      </c>
      <c r="T53" s="134">
        <v>20</v>
      </c>
      <c r="U53" s="134">
        <v>43</v>
      </c>
      <c r="V53" s="134">
        <v>15</v>
      </c>
      <c r="W53" s="134">
        <v>20</v>
      </c>
    </row>
    <row r="54" spans="1:23">
      <c r="A54" s="134" t="s">
        <v>428</v>
      </c>
      <c r="B54" s="134" t="s">
        <v>429</v>
      </c>
      <c r="C54" s="134" t="s">
        <v>445</v>
      </c>
      <c r="D54" s="134">
        <v>0</v>
      </c>
      <c r="E54" s="134">
        <v>0</v>
      </c>
      <c r="F54" s="134">
        <v>1</v>
      </c>
      <c r="G54" s="134">
        <v>0</v>
      </c>
      <c r="H54" s="134">
        <v>174</v>
      </c>
      <c r="I54" s="134">
        <v>124</v>
      </c>
      <c r="J54" s="134">
        <v>266</v>
      </c>
      <c r="K54" s="134">
        <v>134</v>
      </c>
      <c r="L54" s="134">
        <v>0</v>
      </c>
      <c r="M54" s="134">
        <v>0</v>
      </c>
      <c r="N54" s="134">
        <v>0</v>
      </c>
      <c r="O54" s="134">
        <v>0</v>
      </c>
      <c r="P54" s="136">
        <v>0</v>
      </c>
      <c r="Q54" s="136">
        <v>0</v>
      </c>
      <c r="R54" s="134">
        <v>0</v>
      </c>
      <c r="S54" s="134">
        <v>0</v>
      </c>
      <c r="T54" s="134">
        <v>41</v>
      </c>
      <c r="U54" s="134">
        <v>43</v>
      </c>
      <c r="V54" s="134">
        <v>45</v>
      </c>
      <c r="W54" s="134">
        <v>22</v>
      </c>
    </row>
    <row r="55" spans="1:23">
      <c r="A55" s="134" t="s">
        <v>428</v>
      </c>
      <c r="B55" s="134" t="s">
        <v>429</v>
      </c>
      <c r="C55" s="134" t="s">
        <v>446</v>
      </c>
      <c r="D55" s="134">
        <v>0</v>
      </c>
      <c r="E55" s="134">
        <v>0</v>
      </c>
      <c r="F55" s="134">
        <v>2</v>
      </c>
      <c r="G55" s="134">
        <v>0</v>
      </c>
      <c r="H55" s="134">
        <v>37</v>
      </c>
      <c r="I55" s="134">
        <v>38</v>
      </c>
      <c r="J55" s="134">
        <v>237</v>
      </c>
      <c r="K55" s="134">
        <v>176</v>
      </c>
      <c r="L55" s="134">
        <v>0</v>
      </c>
      <c r="M55" s="134">
        <v>0</v>
      </c>
      <c r="N55" s="134">
        <v>0</v>
      </c>
      <c r="O55" s="134">
        <v>0</v>
      </c>
      <c r="P55" s="136">
        <v>0</v>
      </c>
      <c r="Q55" s="136">
        <v>0</v>
      </c>
      <c r="R55" s="134">
        <v>0</v>
      </c>
      <c r="S55" s="134">
        <v>0</v>
      </c>
      <c r="T55" s="134">
        <v>7</v>
      </c>
      <c r="U55" s="134">
        <v>9</v>
      </c>
      <c r="V55" s="134">
        <v>19</v>
      </c>
      <c r="W55" s="134">
        <v>6</v>
      </c>
    </row>
    <row r="56" spans="1:23">
      <c r="A56" s="134" t="s">
        <v>428</v>
      </c>
      <c r="B56" s="134" t="s">
        <v>429</v>
      </c>
      <c r="C56" s="134" t="s">
        <v>447</v>
      </c>
      <c r="D56" s="134">
        <v>0</v>
      </c>
      <c r="E56" s="134">
        <v>0</v>
      </c>
      <c r="F56" s="134">
        <v>2</v>
      </c>
      <c r="G56" s="134">
        <v>0</v>
      </c>
      <c r="H56" s="134">
        <v>18</v>
      </c>
      <c r="I56" s="134">
        <v>34</v>
      </c>
      <c r="J56" s="134">
        <v>140</v>
      </c>
      <c r="K56" s="134">
        <v>258</v>
      </c>
      <c r="L56" s="134">
        <v>0</v>
      </c>
      <c r="M56" s="134">
        <v>0</v>
      </c>
      <c r="N56" s="134">
        <v>0</v>
      </c>
      <c r="O56" s="134">
        <v>0</v>
      </c>
      <c r="P56" s="136">
        <v>0</v>
      </c>
      <c r="Q56" s="136">
        <v>0</v>
      </c>
      <c r="R56" s="134">
        <v>0</v>
      </c>
      <c r="S56" s="134">
        <v>0</v>
      </c>
      <c r="T56" s="134">
        <v>10</v>
      </c>
      <c r="U56" s="134">
        <v>26</v>
      </c>
      <c r="V56" s="134">
        <v>4</v>
      </c>
      <c r="W56" s="134">
        <v>14</v>
      </c>
    </row>
    <row r="57" spans="1:23">
      <c r="A57" s="134"/>
      <c r="B57" s="134"/>
      <c r="C57" s="134" t="s">
        <v>126</v>
      </c>
      <c r="D57" s="134">
        <f>SUM(D4:D56)</f>
        <v>2016</v>
      </c>
      <c r="E57" s="134">
        <f t="shared" ref="E57:W57" si="0">SUM(E4:E56)</f>
        <v>2283</v>
      </c>
      <c r="F57" s="134">
        <f t="shared" si="0"/>
        <v>8448</v>
      </c>
      <c r="G57" s="134">
        <f t="shared" si="0"/>
        <v>9244</v>
      </c>
      <c r="H57" s="134">
        <f t="shared" si="0"/>
        <v>2782</v>
      </c>
      <c r="I57" s="134">
        <f t="shared" si="0"/>
        <v>1556</v>
      </c>
      <c r="J57" s="134">
        <f t="shared" si="0"/>
        <v>10663</v>
      </c>
      <c r="K57" s="134">
        <f t="shared" si="0"/>
        <v>5806</v>
      </c>
      <c r="L57" s="134">
        <f t="shared" si="0"/>
        <v>595</v>
      </c>
      <c r="M57" s="134">
        <f t="shared" si="0"/>
        <v>671</v>
      </c>
      <c r="N57" s="134">
        <f t="shared" si="0"/>
        <v>148</v>
      </c>
      <c r="O57" s="134">
        <f t="shared" si="0"/>
        <v>99</v>
      </c>
      <c r="P57" s="134">
        <f t="shared" si="0"/>
        <v>7</v>
      </c>
      <c r="Q57" s="134">
        <f t="shared" si="0"/>
        <v>9</v>
      </c>
      <c r="R57" s="134">
        <f t="shared" si="0"/>
        <v>340</v>
      </c>
      <c r="S57" s="134">
        <f t="shared" si="0"/>
        <v>963</v>
      </c>
      <c r="T57" s="134">
        <f t="shared" si="0"/>
        <v>792</v>
      </c>
      <c r="U57" s="134">
        <f t="shared" si="0"/>
        <v>919</v>
      </c>
      <c r="V57" s="134">
        <f t="shared" si="0"/>
        <v>618</v>
      </c>
      <c r="W57" s="134">
        <f t="shared" si="0"/>
        <v>333</v>
      </c>
    </row>
  </sheetData>
  <mergeCells count="11">
    <mergeCell ref="V2:W2"/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ageMargins left="0.25" right="0.25" top="0.75" bottom="0.75" header="0.3" footer="0.3"/>
  <pageSetup paperSize="9" scale="4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topLeftCell="A21" workbookViewId="0">
      <selection activeCell="X21" sqref="X1:X1048576"/>
    </sheetView>
  </sheetViews>
  <sheetFormatPr defaultColWidth="9.140625" defaultRowHeight="12.75"/>
  <cols>
    <col min="1" max="1" width="28" style="132" customWidth="1"/>
    <col min="2" max="2" width="29.140625" style="132" customWidth="1"/>
    <col min="3" max="3" width="28.28515625" style="132" customWidth="1"/>
    <col min="4" max="23" width="5.85546875" style="132" customWidth="1"/>
    <col min="24" max="16384" width="9.140625" style="132"/>
  </cols>
  <sheetData>
    <row r="1" spans="1:23">
      <c r="A1" s="320" t="s">
        <v>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127.5" customHeight="1">
      <c r="A2" s="74" t="s">
        <v>0</v>
      </c>
      <c r="B2" s="74" t="s">
        <v>4</v>
      </c>
      <c r="C2" s="74" t="s">
        <v>1</v>
      </c>
      <c r="D2" s="399" t="s">
        <v>5</v>
      </c>
      <c r="E2" s="401"/>
      <c r="F2" s="402" t="s">
        <v>2</v>
      </c>
      <c r="G2" s="403"/>
      <c r="H2" s="399" t="s">
        <v>10</v>
      </c>
      <c r="I2" s="401"/>
      <c r="J2" s="326" t="s">
        <v>11</v>
      </c>
      <c r="K2" s="321"/>
      <c r="L2" s="326" t="s">
        <v>9</v>
      </c>
      <c r="M2" s="327"/>
      <c r="N2" s="326" t="s">
        <v>14</v>
      </c>
      <c r="O2" s="327"/>
      <c r="P2" s="326" t="s">
        <v>15</v>
      </c>
      <c r="Q2" s="327"/>
      <c r="R2" s="399" t="s">
        <v>3</v>
      </c>
      <c r="S2" s="401"/>
      <c r="T2" s="399" t="s">
        <v>12</v>
      </c>
      <c r="U2" s="401"/>
      <c r="V2" s="399" t="s">
        <v>13</v>
      </c>
      <c r="W2" s="400"/>
    </row>
    <row r="3" spans="1:23">
      <c r="A3" s="139"/>
      <c r="B3" s="139"/>
      <c r="C3" s="139"/>
      <c r="D3" s="139" t="s">
        <v>6</v>
      </c>
      <c r="E3" s="139" t="s">
        <v>7</v>
      </c>
      <c r="F3" s="139" t="s">
        <v>6</v>
      </c>
      <c r="G3" s="139" t="s">
        <v>7</v>
      </c>
      <c r="H3" s="139" t="s">
        <v>6</v>
      </c>
      <c r="I3" s="139" t="s">
        <v>7</v>
      </c>
      <c r="J3" s="139" t="s">
        <v>6</v>
      </c>
      <c r="K3" s="139" t="s">
        <v>7</v>
      </c>
      <c r="L3" s="139" t="s">
        <v>6</v>
      </c>
      <c r="M3" s="139" t="s">
        <v>7</v>
      </c>
      <c r="N3" s="139" t="s">
        <v>6</v>
      </c>
      <c r="O3" s="139" t="s">
        <v>7</v>
      </c>
      <c r="P3" s="139" t="s">
        <v>6</v>
      </c>
      <c r="Q3" s="139" t="s">
        <v>7</v>
      </c>
      <c r="R3" s="139" t="s">
        <v>6</v>
      </c>
      <c r="S3" s="139" t="s">
        <v>7</v>
      </c>
      <c r="T3" s="139" t="s">
        <v>6</v>
      </c>
      <c r="U3" s="139" t="s">
        <v>7</v>
      </c>
      <c r="V3" s="139" t="s">
        <v>6</v>
      </c>
      <c r="W3" s="139" t="s">
        <v>7</v>
      </c>
    </row>
    <row r="4" spans="1:23">
      <c r="A4" s="133" t="s">
        <v>323</v>
      </c>
      <c r="B4" s="133" t="s">
        <v>324</v>
      </c>
      <c r="C4" s="133" t="s">
        <v>46</v>
      </c>
      <c r="D4" s="134">
        <v>37</v>
      </c>
      <c r="E4" s="134">
        <v>112</v>
      </c>
      <c r="F4" s="134">
        <v>146</v>
      </c>
      <c r="G4" s="134">
        <v>544</v>
      </c>
      <c r="H4" s="134">
        <v>31</v>
      </c>
      <c r="I4" s="134">
        <v>103</v>
      </c>
      <c r="J4" s="134">
        <v>241</v>
      </c>
      <c r="K4" s="134">
        <v>601</v>
      </c>
      <c r="L4" s="134">
        <v>22</v>
      </c>
      <c r="M4" s="134">
        <v>64</v>
      </c>
      <c r="N4" s="134">
        <v>1</v>
      </c>
      <c r="O4" s="134">
        <v>2</v>
      </c>
      <c r="P4" s="134">
        <v>0</v>
      </c>
      <c r="Q4" s="134">
        <v>0</v>
      </c>
      <c r="R4" s="134">
        <v>3</v>
      </c>
      <c r="S4" s="134">
        <v>9</v>
      </c>
      <c r="T4" s="134">
        <v>20</v>
      </c>
      <c r="U4" s="134">
        <v>64</v>
      </c>
      <c r="V4" s="134">
        <v>1</v>
      </c>
      <c r="W4" s="134">
        <v>18</v>
      </c>
    </row>
    <row r="5" spans="1:23">
      <c r="A5" s="133" t="s">
        <v>323</v>
      </c>
      <c r="B5" s="133" t="s">
        <v>324</v>
      </c>
      <c r="C5" s="135" t="s">
        <v>44</v>
      </c>
      <c r="D5" s="134">
        <v>39</v>
      </c>
      <c r="E5" s="134">
        <v>61</v>
      </c>
      <c r="F5" s="134">
        <v>277</v>
      </c>
      <c r="G5" s="134">
        <v>418</v>
      </c>
      <c r="H5" s="134">
        <v>100</v>
      </c>
      <c r="I5" s="134">
        <v>146</v>
      </c>
      <c r="J5" s="134">
        <v>315</v>
      </c>
      <c r="K5" s="134">
        <v>539</v>
      </c>
      <c r="L5" s="134">
        <v>16</v>
      </c>
      <c r="M5" s="136">
        <v>28</v>
      </c>
      <c r="N5" s="136">
        <v>4</v>
      </c>
      <c r="O5" s="136">
        <v>2</v>
      </c>
      <c r="P5" s="136">
        <v>1</v>
      </c>
      <c r="Q5" s="136">
        <v>0</v>
      </c>
      <c r="R5" s="134">
        <v>2</v>
      </c>
      <c r="S5" s="134">
        <v>6</v>
      </c>
      <c r="T5" s="134">
        <v>50</v>
      </c>
      <c r="U5" s="134">
        <v>94</v>
      </c>
      <c r="V5" s="134">
        <v>11</v>
      </c>
      <c r="W5" s="134">
        <v>19</v>
      </c>
    </row>
    <row r="6" spans="1:23">
      <c r="A6" s="133" t="s">
        <v>323</v>
      </c>
      <c r="B6" s="133" t="s">
        <v>324</v>
      </c>
      <c r="C6" s="133" t="s">
        <v>325</v>
      </c>
      <c r="D6" s="134">
        <v>31</v>
      </c>
      <c r="E6" s="134">
        <v>97</v>
      </c>
      <c r="F6" s="134">
        <v>26</v>
      </c>
      <c r="G6" s="134">
        <v>117</v>
      </c>
      <c r="H6" s="134">
        <v>19</v>
      </c>
      <c r="I6" s="134">
        <v>20</v>
      </c>
      <c r="J6" s="134">
        <v>333</v>
      </c>
      <c r="K6" s="134">
        <v>780</v>
      </c>
      <c r="L6" s="134">
        <v>4</v>
      </c>
      <c r="M6" s="136">
        <v>38</v>
      </c>
      <c r="N6" s="136">
        <v>2</v>
      </c>
      <c r="O6" s="136">
        <v>1</v>
      </c>
      <c r="P6" s="136">
        <v>0</v>
      </c>
      <c r="Q6" s="136">
        <v>0</v>
      </c>
      <c r="R6" s="136">
        <v>3</v>
      </c>
      <c r="S6" s="136">
        <v>6</v>
      </c>
      <c r="T6" s="136">
        <v>1</v>
      </c>
      <c r="U6" s="136">
        <v>8</v>
      </c>
      <c r="V6" s="136">
        <v>1</v>
      </c>
      <c r="W6" s="136">
        <v>2</v>
      </c>
    </row>
    <row r="7" spans="1:23">
      <c r="A7" s="133" t="s">
        <v>323</v>
      </c>
      <c r="B7" s="133" t="s">
        <v>152</v>
      </c>
      <c r="C7" s="133" t="s">
        <v>32</v>
      </c>
      <c r="D7" s="136">
        <v>36</v>
      </c>
      <c r="E7" s="136">
        <v>26</v>
      </c>
      <c r="F7" s="136">
        <v>270</v>
      </c>
      <c r="G7" s="136">
        <v>365</v>
      </c>
      <c r="H7" s="136">
        <v>126</v>
      </c>
      <c r="I7" s="136">
        <v>109</v>
      </c>
      <c r="J7" s="136">
        <v>960</v>
      </c>
      <c r="K7" s="136">
        <v>481</v>
      </c>
      <c r="L7" s="136">
        <v>35</v>
      </c>
      <c r="M7" s="136">
        <v>35</v>
      </c>
      <c r="N7" s="136">
        <v>0</v>
      </c>
      <c r="O7" s="136">
        <v>5</v>
      </c>
      <c r="P7" s="136">
        <v>0</v>
      </c>
      <c r="Q7" s="136">
        <v>0</v>
      </c>
      <c r="R7" s="136">
        <v>2</v>
      </c>
      <c r="S7" s="136">
        <v>6</v>
      </c>
      <c r="T7" s="136">
        <v>31</v>
      </c>
      <c r="U7" s="136">
        <v>40</v>
      </c>
      <c r="V7" s="136">
        <v>39</v>
      </c>
      <c r="W7" s="136">
        <v>39</v>
      </c>
    </row>
    <row r="8" spans="1:23">
      <c r="A8" s="133" t="s">
        <v>323</v>
      </c>
      <c r="B8" s="133" t="s">
        <v>152</v>
      </c>
      <c r="C8" s="133" t="s">
        <v>34</v>
      </c>
      <c r="D8" s="134">
        <v>23</v>
      </c>
      <c r="E8" s="134">
        <v>24</v>
      </c>
      <c r="F8" s="134">
        <v>241</v>
      </c>
      <c r="G8" s="134">
        <v>243</v>
      </c>
      <c r="H8" s="134">
        <v>112</v>
      </c>
      <c r="I8" s="134">
        <v>54</v>
      </c>
      <c r="J8" s="134">
        <v>676</v>
      </c>
      <c r="K8" s="134">
        <v>283</v>
      </c>
      <c r="L8" s="134">
        <v>22</v>
      </c>
      <c r="M8" s="136">
        <v>13</v>
      </c>
      <c r="N8" s="136">
        <v>5</v>
      </c>
      <c r="O8" s="136">
        <v>2</v>
      </c>
      <c r="P8" s="136">
        <v>0</v>
      </c>
      <c r="Q8" s="136">
        <v>0</v>
      </c>
      <c r="R8" s="136">
        <v>3</v>
      </c>
      <c r="S8" s="136">
        <v>0</v>
      </c>
      <c r="T8" s="136">
        <v>28</v>
      </c>
      <c r="U8" s="136">
        <v>27</v>
      </c>
      <c r="V8" s="136">
        <v>31</v>
      </c>
      <c r="W8" s="136">
        <v>15</v>
      </c>
    </row>
    <row r="9" spans="1:23">
      <c r="A9" s="133" t="s">
        <v>323</v>
      </c>
      <c r="B9" s="133" t="s">
        <v>152</v>
      </c>
      <c r="C9" s="133" t="s">
        <v>35</v>
      </c>
      <c r="D9" s="134">
        <v>49</v>
      </c>
      <c r="E9" s="134">
        <v>100</v>
      </c>
      <c r="F9" s="134">
        <v>152</v>
      </c>
      <c r="G9" s="134">
        <v>359</v>
      </c>
      <c r="H9" s="134">
        <v>58</v>
      </c>
      <c r="I9" s="134">
        <v>73</v>
      </c>
      <c r="J9" s="134">
        <v>205</v>
      </c>
      <c r="K9" s="134">
        <v>170</v>
      </c>
      <c r="L9" s="134">
        <v>42</v>
      </c>
      <c r="M9" s="136">
        <v>70</v>
      </c>
      <c r="N9" s="136">
        <v>6</v>
      </c>
      <c r="O9" s="136">
        <v>6</v>
      </c>
      <c r="P9" s="136">
        <v>0</v>
      </c>
      <c r="Q9" s="136">
        <v>0</v>
      </c>
      <c r="R9" s="136">
        <v>11</v>
      </c>
      <c r="S9" s="136">
        <v>34</v>
      </c>
      <c r="T9" s="136">
        <v>8</v>
      </c>
      <c r="U9" s="136">
        <v>26</v>
      </c>
      <c r="V9" s="136">
        <v>1</v>
      </c>
      <c r="W9" s="136">
        <v>3</v>
      </c>
    </row>
    <row r="10" spans="1:23">
      <c r="A10" s="133" t="s">
        <v>323</v>
      </c>
      <c r="B10" s="133" t="s">
        <v>144</v>
      </c>
      <c r="C10" s="133" t="s">
        <v>61</v>
      </c>
      <c r="D10" s="134">
        <v>57</v>
      </c>
      <c r="E10" s="134">
        <v>100</v>
      </c>
      <c r="F10" s="134">
        <v>340</v>
      </c>
      <c r="G10" s="134">
        <v>488</v>
      </c>
      <c r="H10" s="134">
        <v>28</v>
      </c>
      <c r="I10" s="134">
        <v>23</v>
      </c>
      <c r="J10" s="134">
        <v>187</v>
      </c>
      <c r="K10" s="134">
        <v>145</v>
      </c>
      <c r="L10" s="134">
        <v>13</v>
      </c>
      <c r="M10" s="136">
        <v>39</v>
      </c>
      <c r="N10" s="136">
        <v>3</v>
      </c>
      <c r="O10" s="136">
        <v>1</v>
      </c>
      <c r="P10" s="136">
        <v>0</v>
      </c>
      <c r="Q10" s="136">
        <v>0</v>
      </c>
      <c r="R10" s="136">
        <v>35</v>
      </c>
      <c r="S10" s="136">
        <v>60</v>
      </c>
      <c r="T10" s="136">
        <v>22</v>
      </c>
      <c r="U10" s="136">
        <v>29</v>
      </c>
      <c r="V10" s="136">
        <v>5</v>
      </c>
      <c r="W10" s="136">
        <v>7</v>
      </c>
    </row>
    <row r="11" spans="1:23" ht="25.5">
      <c r="A11" s="133" t="s">
        <v>323</v>
      </c>
      <c r="B11" s="133" t="s">
        <v>144</v>
      </c>
      <c r="C11" s="135" t="s">
        <v>326</v>
      </c>
      <c r="D11" s="134">
        <v>51</v>
      </c>
      <c r="E11" s="134">
        <v>96</v>
      </c>
      <c r="F11" s="134">
        <v>152</v>
      </c>
      <c r="G11" s="134">
        <v>428</v>
      </c>
      <c r="H11" s="137">
        <v>42</v>
      </c>
      <c r="I11" s="137">
        <v>87</v>
      </c>
      <c r="J11" s="134">
        <v>110</v>
      </c>
      <c r="K11" s="134">
        <v>125</v>
      </c>
      <c r="L11" s="134">
        <v>11</v>
      </c>
      <c r="M11" s="136">
        <v>21</v>
      </c>
      <c r="N11" s="136">
        <v>0</v>
      </c>
      <c r="O11" s="136">
        <v>4</v>
      </c>
      <c r="P11" s="136">
        <v>0</v>
      </c>
      <c r="Q11" s="136">
        <v>0</v>
      </c>
      <c r="R11" s="134">
        <v>6</v>
      </c>
      <c r="S11" s="134">
        <v>12</v>
      </c>
      <c r="T11" s="137">
        <v>11</v>
      </c>
      <c r="U11" s="137">
        <v>24</v>
      </c>
      <c r="V11" s="134">
        <v>7</v>
      </c>
      <c r="W11" s="134">
        <v>8</v>
      </c>
    </row>
    <row r="12" spans="1:23">
      <c r="A12" s="397" t="s">
        <v>323</v>
      </c>
      <c r="B12" s="397" t="s">
        <v>144</v>
      </c>
      <c r="C12" s="135" t="s">
        <v>327</v>
      </c>
      <c r="D12" s="136">
        <v>37</v>
      </c>
      <c r="E12" s="136">
        <v>122</v>
      </c>
      <c r="F12" s="136">
        <v>102</v>
      </c>
      <c r="G12" s="136">
        <v>408</v>
      </c>
      <c r="H12" s="136">
        <v>19</v>
      </c>
      <c r="I12" s="136">
        <v>44</v>
      </c>
      <c r="J12" s="136">
        <v>0</v>
      </c>
      <c r="K12" s="136">
        <v>0</v>
      </c>
      <c r="L12" s="136">
        <v>7</v>
      </c>
      <c r="M12" s="136">
        <v>58</v>
      </c>
      <c r="N12" s="136">
        <v>1</v>
      </c>
      <c r="O12" s="136">
        <v>1</v>
      </c>
      <c r="P12" s="136">
        <v>0</v>
      </c>
      <c r="Q12" s="136">
        <v>0</v>
      </c>
      <c r="R12" s="136">
        <v>27</v>
      </c>
      <c r="S12" s="136">
        <v>163</v>
      </c>
      <c r="T12" s="136">
        <v>0</v>
      </c>
      <c r="U12" s="136">
        <v>6</v>
      </c>
      <c r="V12" s="136">
        <v>0</v>
      </c>
      <c r="W12" s="136">
        <v>0</v>
      </c>
    </row>
    <row r="13" spans="1:23">
      <c r="A13" s="397"/>
      <c r="B13" s="397"/>
      <c r="C13" s="133" t="s">
        <v>328</v>
      </c>
      <c r="D13" s="134">
        <v>0</v>
      </c>
      <c r="E13" s="134">
        <v>0</v>
      </c>
      <c r="F13" s="134">
        <v>0</v>
      </c>
      <c r="G13" s="134">
        <v>0</v>
      </c>
      <c r="H13" s="134">
        <v>101</v>
      </c>
      <c r="I13" s="134">
        <v>299</v>
      </c>
      <c r="J13" s="134">
        <v>0</v>
      </c>
      <c r="K13" s="134">
        <v>0</v>
      </c>
      <c r="L13" s="134">
        <v>0</v>
      </c>
      <c r="M13" s="136">
        <v>0</v>
      </c>
      <c r="N13" s="136">
        <v>0</v>
      </c>
      <c r="O13" s="136">
        <v>0</v>
      </c>
      <c r="P13" s="136">
        <v>0</v>
      </c>
      <c r="Q13" s="136">
        <v>0</v>
      </c>
      <c r="R13" s="134">
        <v>0</v>
      </c>
      <c r="S13" s="134">
        <v>0</v>
      </c>
      <c r="T13" s="134">
        <v>12</v>
      </c>
      <c r="U13" s="134">
        <v>39</v>
      </c>
      <c r="V13" s="134">
        <v>0</v>
      </c>
      <c r="W13" s="134">
        <v>0</v>
      </c>
    </row>
    <row r="14" spans="1:23" ht="25.5">
      <c r="A14" s="398" t="s">
        <v>323</v>
      </c>
      <c r="B14" s="397" t="s">
        <v>329</v>
      </c>
      <c r="C14" s="135" t="s">
        <v>330</v>
      </c>
      <c r="D14" s="136">
        <v>21</v>
      </c>
      <c r="E14" s="136">
        <v>144</v>
      </c>
      <c r="F14" s="136">
        <v>78</v>
      </c>
      <c r="G14" s="136">
        <v>571</v>
      </c>
      <c r="H14" s="136">
        <v>0</v>
      </c>
      <c r="I14" s="136">
        <v>5</v>
      </c>
      <c r="J14" s="136">
        <v>0</v>
      </c>
      <c r="K14" s="136">
        <v>0</v>
      </c>
      <c r="L14" s="136">
        <v>10</v>
      </c>
      <c r="M14" s="136">
        <v>35</v>
      </c>
      <c r="N14" s="136">
        <v>0</v>
      </c>
      <c r="O14" s="136">
        <v>1</v>
      </c>
      <c r="P14" s="136">
        <v>0</v>
      </c>
      <c r="Q14" s="136">
        <v>0</v>
      </c>
      <c r="R14" s="136">
        <v>3</v>
      </c>
      <c r="S14" s="136">
        <v>68</v>
      </c>
      <c r="T14" s="136">
        <v>10</v>
      </c>
      <c r="U14" s="136">
        <v>68</v>
      </c>
      <c r="V14" s="136">
        <v>0</v>
      </c>
      <c r="W14" s="136">
        <v>0</v>
      </c>
    </row>
    <row r="15" spans="1:23" ht="25.5">
      <c r="A15" s="398"/>
      <c r="B15" s="397"/>
      <c r="C15" s="135" t="s">
        <v>331</v>
      </c>
      <c r="D15" s="136">
        <v>0</v>
      </c>
      <c r="E15" s="136">
        <v>0</v>
      </c>
      <c r="F15" s="136">
        <v>0</v>
      </c>
      <c r="G15" s="136">
        <v>5</v>
      </c>
      <c r="H15" s="136">
        <v>5</v>
      </c>
      <c r="I15" s="136">
        <v>68</v>
      </c>
      <c r="J15" s="136">
        <v>38</v>
      </c>
      <c r="K15" s="136">
        <v>106</v>
      </c>
      <c r="L15" s="136">
        <v>0</v>
      </c>
      <c r="M15" s="136">
        <v>0</v>
      </c>
      <c r="N15" s="136">
        <v>0</v>
      </c>
      <c r="O15" s="136">
        <v>0</v>
      </c>
      <c r="P15" s="136">
        <v>0</v>
      </c>
      <c r="Q15" s="136">
        <v>0</v>
      </c>
      <c r="R15" s="136">
        <v>0</v>
      </c>
      <c r="S15" s="136">
        <v>0</v>
      </c>
      <c r="T15" s="136">
        <v>1</v>
      </c>
      <c r="U15" s="136">
        <v>15</v>
      </c>
      <c r="V15" s="136">
        <v>5</v>
      </c>
      <c r="W15" s="136">
        <v>12</v>
      </c>
    </row>
    <row r="16" spans="1:23" ht="25.5">
      <c r="A16" s="133" t="s">
        <v>323</v>
      </c>
      <c r="B16" s="133" t="s">
        <v>332</v>
      </c>
      <c r="C16" s="135" t="s">
        <v>147</v>
      </c>
      <c r="D16" s="134">
        <v>63</v>
      </c>
      <c r="E16" s="134">
        <v>189</v>
      </c>
      <c r="F16" s="134">
        <v>183</v>
      </c>
      <c r="G16" s="134">
        <v>717</v>
      </c>
      <c r="H16" s="134">
        <v>32</v>
      </c>
      <c r="I16" s="134">
        <v>88</v>
      </c>
      <c r="J16" s="134">
        <v>6</v>
      </c>
      <c r="K16" s="134">
        <v>5</v>
      </c>
      <c r="L16" s="134">
        <v>18</v>
      </c>
      <c r="M16" s="134">
        <v>46</v>
      </c>
      <c r="N16" s="134">
        <v>2</v>
      </c>
      <c r="O16" s="134">
        <v>1</v>
      </c>
      <c r="P16" s="134">
        <v>0</v>
      </c>
      <c r="Q16" s="134">
        <v>0</v>
      </c>
      <c r="R16" s="134">
        <v>23</v>
      </c>
      <c r="S16" s="134">
        <v>98</v>
      </c>
      <c r="T16" s="134">
        <v>24</v>
      </c>
      <c r="U16" s="134">
        <v>104</v>
      </c>
      <c r="V16" s="134">
        <v>1</v>
      </c>
      <c r="W16" s="134">
        <v>0</v>
      </c>
    </row>
    <row r="17" spans="1:23" ht="25.5">
      <c r="A17" s="133" t="s">
        <v>323</v>
      </c>
      <c r="B17" s="133" t="s">
        <v>332</v>
      </c>
      <c r="C17" s="135" t="s">
        <v>333</v>
      </c>
      <c r="D17" s="77">
        <v>21</v>
      </c>
      <c r="E17" s="77">
        <v>279</v>
      </c>
      <c r="F17" s="77">
        <v>63</v>
      </c>
      <c r="G17" s="77">
        <v>973</v>
      </c>
      <c r="H17" s="77">
        <v>14</v>
      </c>
      <c r="I17" s="77">
        <v>103</v>
      </c>
      <c r="J17" s="77">
        <v>78</v>
      </c>
      <c r="K17" s="77">
        <v>299</v>
      </c>
      <c r="L17" s="77">
        <v>8</v>
      </c>
      <c r="M17" s="77">
        <v>57</v>
      </c>
      <c r="N17" s="77">
        <v>1</v>
      </c>
      <c r="O17" s="77">
        <v>7</v>
      </c>
      <c r="P17" s="77">
        <v>0</v>
      </c>
      <c r="Q17" s="77">
        <v>0</v>
      </c>
      <c r="R17" s="77">
        <v>3</v>
      </c>
      <c r="S17" s="77">
        <v>111</v>
      </c>
      <c r="T17" s="77">
        <v>2</v>
      </c>
      <c r="U17" s="77">
        <v>106</v>
      </c>
      <c r="V17" s="77">
        <v>2</v>
      </c>
      <c r="W17" s="77">
        <v>9</v>
      </c>
    </row>
    <row r="18" spans="1:23" ht="25.5">
      <c r="A18" s="133" t="s">
        <v>323</v>
      </c>
      <c r="B18" s="135" t="s">
        <v>334</v>
      </c>
      <c r="C18" s="135" t="s">
        <v>38</v>
      </c>
      <c r="D18" s="134">
        <v>153</v>
      </c>
      <c r="E18" s="134">
        <v>117</v>
      </c>
      <c r="F18" s="134">
        <v>557</v>
      </c>
      <c r="G18" s="134">
        <v>437</v>
      </c>
      <c r="H18" s="134">
        <v>154</v>
      </c>
      <c r="I18" s="134">
        <v>47</v>
      </c>
      <c r="J18" s="134">
        <v>292</v>
      </c>
      <c r="K18" s="134">
        <v>132</v>
      </c>
      <c r="L18" s="134">
        <v>59</v>
      </c>
      <c r="M18" s="136">
        <v>39</v>
      </c>
      <c r="N18" s="136">
        <v>6</v>
      </c>
      <c r="O18" s="136">
        <v>3</v>
      </c>
      <c r="P18" s="136">
        <v>0</v>
      </c>
      <c r="Q18" s="136">
        <v>0</v>
      </c>
      <c r="R18" s="136">
        <v>4</v>
      </c>
      <c r="S18" s="136">
        <v>4</v>
      </c>
      <c r="T18" s="136">
        <v>64</v>
      </c>
      <c r="U18" s="136">
        <v>58</v>
      </c>
      <c r="V18" s="136">
        <v>15</v>
      </c>
      <c r="W18" s="136">
        <v>6</v>
      </c>
    </row>
    <row r="19" spans="1:23" ht="25.5">
      <c r="A19" s="133" t="s">
        <v>323</v>
      </c>
      <c r="B19" s="135" t="s">
        <v>334</v>
      </c>
      <c r="C19" s="135" t="s">
        <v>156</v>
      </c>
      <c r="D19" s="138">
        <v>53</v>
      </c>
      <c r="E19" s="138">
        <v>57</v>
      </c>
      <c r="F19" s="138">
        <v>215</v>
      </c>
      <c r="G19" s="138">
        <v>176</v>
      </c>
      <c r="H19" s="138">
        <v>158</v>
      </c>
      <c r="I19" s="138">
        <v>95</v>
      </c>
      <c r="J19" s="138">
        <v>526</v>
      </c>
      <c r="K19" s="138">
        <v>396</v>
      </c>
      <c r="L19" s="138">
        <v>14</v>
      </c>
      <c r="M19" s="138">
        <v>17</v>
      </c>
      <c r="N19" s="138">
        <v>2</v>
      </c>
      <c r="O19" s="138">
        <v>0</v>
      </c>
      <c r="P19" s="138">
        <v>0</v>
      </c>
      <c r="Q19" s="138">
        <v>0</v>
      </c>
      <c r="R19" s="138">
        <v>7</v>
      </c>
      <c r="S19" s="138">
        <v>18</v>
      </c>
      <c r="T19" s="138">
        <v>17</v>
      </c>
      <c r="U19" s="138">
        <v>26</v>
      </c>
      <c r="V19" s="138">
        <v>18</v>
      </c>
      <c r="W19" s="138">
        <v>19</v>
      </c>
    </row>
    <row r="20" spans="1:23" ht="51">
      <c r="A20" s="133" t="s">
        <v>323</v>
      </c>
      <c r="B20" s="135" t="s">
        <v>334</v>
      </c>
      <c r="C20" s="135" t="s">
        <v>335</v>
      </c>
      <c r="D20" s="134">
        <v>0</v>
      </c>
      <c r="E20" s="134">
        <v>0</v>
      </c>
      <c r="F20" s="134">
        <v>0</v>
      </c>
      <c r="G20" s="134">
        <v>0</v>
      </c>
      <c r="H20" s="134">
        <v>89</v>
      </c>
      <c r="I20" s="134">
        <v>55</v>
      </c>
      <c r="J20" s="134">
        <v>173</v>
      </c>
      <c r="K20" s="134">
        <v>378</v>
      </c>
      <c r="L20" s="134">
        <v>0</v>
      </c>
      <c r="M20" s="136">
        <v>1</v>
      </c>
      <c r="N20" s="136">
        <v>0</v>
      </c>
      <c r="O20" s="136">
        <v>0</v>
      </c>
      <c r="P20" s="136">
        <v>0</v>
      </c>
      <c r="Q20" s="136">
        <v>0</v>
      </c>
      <c r="R20" s="134">
        <v>0</v>
      </c>
      <c r="S20" s="134">
        <v>0</v>
      </c>
      <c r="T20" s="134">
        <v>22</v>
      </c>
      <c r="U20" s="134">
        <v>17</v>
      </c>
      <c r="V20" s="134">
        <v>24</v>
      </c>
      <c r="W20" s="134">
        <v>28</v>
      </c>
    </row>
    <row r="21" spans="1:23" ht="63.75">
      <c r="A21" s="133" t="s">
        <v>323</v>
      </c>
      <c r="B21" s="135" t="s">
        <v>334</v>
      </c>
      <c r="C21" s="135" t="s">
        <v>336</v>
      </c>
      <c r="D21" s="134">
        <v>0</v>
      </c>
      <c r="E21" s="134">
        <v>0</v>
      </c>
      <c r="F21" s="134">
        <v>0</v>
      </c>
      <c r="G21" s="134">
        <v>0</v>
      </c>
      <c r="H21" s="134">
        <v>53</v>
      </c>
      <c r="I21" s="134">
        <v>26</v>
      </c>
      <c r="J21" s="134">
        <v>64</v>
      </c>
      <c r="K21" s="134">
        <v>78</v>
      </c>
      <c r="L21" s="134">
        <v>0</v>
      </c>
      <c r="M21" s="136">
        <v>0</v>
      </c>
      <c r="N21" s="136">
        <v>0</v>
      </c>
      <c r="O21" s="136">
        <v>0</v>
      </c>
      <c r="P21" s="136">
        <v>0</v>
      </c>
      <c r="Q21" s="136">
        <v>0</v>
      </c>
      <c r="R21" s="134">
        <v>0</v>
      </c>
      <c r="S21" s="134">
        <v>0</v>
      </c>
      <c r="T21" s="134">
        <v>6</v>
      </c>
      <c r="U21" s="134">
        <v>6</v>
      </c>
      <c r="V21" s="134">
        <v>5</v>
      </c>
      <c r="W21" s="134">
        <v>5</v>
      </c>
    </row>
    <row r="22" spans="1:23" ht="25.5">
      <c r="A22" s="133" t="s">
        <v>323</v>
      </c>
      <c r="B22" s="133" t="s">
        <v>337</v>
      </c>
      <c r="C22" s="135" t="s">
        <v>338</v>
      </c>
      <c r="D22" s="134">
        <v>12</v>
      </c>
      <c r="E22" s="134">
        <v>37</v>
      </c>
      <c r="F22" s="134">
        <v>85</v>
      </c>
      <c r="G22" s="134">
        <v>231</v>
      </c>
      <c r="H22" s="134">
        <v>27</v>
      </c>
      <c r="I22" s="134">
        <v>33</v>
      </c>
      <c r="J22" s="134">
        <v>133</v>
      </c>
      <c r="K22" s="134">
        <v>368</v>
      </c>
      <c r="L22" s="134">
        <v>11</v>
      </c>
      <c r="M22" s="136">
        <v>39</v>
      </c>
      <c r="N22" s="136">
        <v>1</v>
      </c>
      <c r="O22" s="136">
        <v>5</v>
      </c>
      <c r="P22" s="136">
        <v>0</v>
      </c>
      <c r="Q22" s="136">
        <v>0</v>
      </c>
      <c r="R22" s="136">
        <v>3</v>
      </c>
      <c r="S22" s="136">
        <v>2</v>
      </c>
      <c r="T22" s="136">
        <v>6</v>
      </c>
      <c r="U22" s="136">
        <v>7</v>
      </c>
      <c r="V22" s="136">
        <v>14</v>
      </c>
      <c r="W22" s="136">
        <v>23</v>
      </c>
    </row>
    <row r="23" spans="1:23">
      <c r="A23" s="133" t="s">
        <v>323</v>
      </c>
      <c r="B23" s="133" t="s">
        <v>141</v>
      </c>
      <c r="C23" s="135" t="s">
        <v>339</v>
      </c>
      <c r="D23" s="134">
        <v>65</v>
      </c>
      <c r="E23" s="134">
        <v>38</v>
      </c>
      <c r="F23" s="134">
        <v>303</v>
      </c>
      <c r="G23" s="134">
        <v>237</v>
      </c>
      <c r="H23" s="134">
        <v>115</v>
      </c>
      <c r="I23" s="134">
        <v>103</v>
      </c>
      <c r="J23" s="134">
        <v>421</v>
      </c>
      <c r="K23" s="134">
        <v>210</v>
      </c>
      <c r="L23" s="134">
        <v>10</v>
      </c>
      <c r="M23" s="136">
        <v>9</v>
      </c>
      <c r="N23" s="136">
        <v>4</v>
      </c>
      <c r="O23" s="136">
        <v>0</v>
      </c>
      <c r="P23" s="136">
        <v>0</v>
      </c>
      <c r="Q23" s="136">
        <v>0</v>
      </c>
      <c r="R23" s="136">
        <v>2</v>
      </c>
      <c r="S23" s="136">
        <v>2</v>
      </c>
      <c r="T23" s="136">
        <v>18</v>
      </c>
      <c r="U23" s="136">
        <v>26</v>
      </c>
      <c r="V23" s="136">
        <v>18</v>
      </c>
      <c r="W23" s="136">
        <v>16</v>
      </c>
    </row>
    <row r="24" spans="1:23" ht="38.25">
      <c r="A24" s="133" t="s">
        <v>323</v>
      </c>
      <c r="B24" s="133" t="s">
        <v>141</v>
      </c>
      <c r="C24" s="135" t="s">
        <v>340</v>
      </c>
      <c r="D24" s="134">
        <v>90</v>
      </c>
      <c r="E24" s="134">
        <v>20</v>
      </c>
      <c r="F24" s="134">
        <v>743</v>
      </c>
      <c r="G24" s="134">
        <v>107</v>
      </c>
      <c r="H24" s="134">
        <v>344</v>
      </c>
      <c r="I24" s="134">
        <v>58</v>
      </c>
      <c r="J24" s="134">
        <v>471</v>
      </c>
      <c r="K24" s="134">
        <v>128</v>
      </c>
      <c r="L24" s="134">
        <v>35</v>
      </c>
      <c r="M24" s="136">
        <v>7</v>
      </c>
      <c r="N24" s="136">
        <v>13</v>
      </c>
      <c r="O24" s="136">
        <v>5</v>
      </c>
      <c r="P24" s="136">
        <v>0</v>
      </c>
      <c r="Q24" s="136">
        <v>0</v>
      </c>
      <c r="R24" s="134">
        <v>2</v>
      </c>
      <c r="S24" s="134">
        <v>1</v>
      </c>
      <c r="T24" s="134">
        <v>59</v>
      </c>
      <c r="U24" s="134">
        <v>17</v>
      </c>
      <c r="V24" s="134">
        <v>33</v>
      </c>
      <c r="W24" s="134">
        <v>4</v>
      </c>
    </row>
    <row r="25" spans="1:23">
      <c r="A25" s="133" t="s">
        <v>323</v>
      </c>
      <c r="B25" s="133" t="s">
        <v>141</v>
      </c>
      <c r="C25" s="135" t="s">
        <v>51</v>
      </c>
      <c r="D25" s="136">
        <v>11</v>
      </c>
      <c r="E25" s="136">
        <v>43</v>
      </c>
      <c r="F25" s="136">
        <v>13</v>
      </c>
      <c r="G25" s="136">
        <v>28</v>
      </c>
      <c r="H25" s="136">
        <v>19</v>
      </c>
      <c r="I25" s="136">
        <v>32</v>
      </c>
      <c r="J25" s="136">
        <v>0</v>
      </c>
      <c r="K25" s="136">
        <v>0</v>
      </c>
      <c r="L25" s="136">
        <v>5</v>
      </c>
      <c r="M25" s="136">
        <v>16</v>
      </c>
      <c r="N25" s="136">
        <v>0</v>
      </c>
      <c r="O25" s="136">
        <v>0</v>
      </c>
      <c r="P25" s="136">
        <v>0</v>
      </c>
      <c r="Q25" s="136">
        <v>0</v>
      </c>
      <c r="R25" s="136">
        <v>1</v>
      </c>
      <c r="S25" s="136">
        <v>3</v>
      </c>
      <c r="T25" s="136">
        <v>6</v>
      </c>
      <c r="U25" s="136">
        <v>15</v>
      </c>
      <c r="V25" s="136">
        <v>0</v>
      </c>
      <c r="W25" s="136">
        <v>0</v>
      </c>
    </row>
    <row r="26" spans="1:23" ht="25.5">
      <c r="A26" s="133" t="s">
        <v>323</v>
      </c>
      <c r="B26" s="135" t="s">
        <v>341</v>
      </c>
      <c r="C26" s="135" t="s">
        <v>341</v>
      </c>
      <c r="D26" s="134">
        <v>217</v>
      </c>
      <c r="E26" s="134">
        <v>50</v>
      </c>
      <c r="F26" s="134">
        <v>617</v>
      </c>
      <c r="G26" s="134">
        <v>145</v>
      </c>
      <c r="H26" s="134">
        <v>202</v>
      </c>
      <c r="I26" s="134">
        <v>34</v>
      </c>
      <c r="J26" s="134">
        <v>893</v>
      </c>
      <c r="K26" s="134">
        <v>333</v>
      </c>
      <c r="L26" s="134">
        <v>64</v>
      </c>
      <c r="M26" s="136">
        <v>25</v>
      </c>
      <c r="N26" s="136">
        <v>21</v>
      </c>
      <c r="O26" s="136">
        <v>3</v>
      </c>
      <c r="P26" s="136">
        <v>0</v>
      </c>
      <c r="Q26" s="136">
        <v>1</v>
      </c>
      <c r="R26" s="134">
        <v>21</v>
      </c>
      <c r="S26" s="134">
        <v>14</v>
      </c>
      <c r="T26" s="134">
        <v>2</v>
      </c>
      <c r="U26" s="134">
        <v>0</v>
      </c>
      <c r="V26" s="134">
        <v>28</v>
      </c>
      <c r="W26" s="134">
        <v>11</v>
      </c>
    </row>
    <row r="27" spans="1:23">
      <c r="A27" s="397" t="s">
        <v>323</v>
      </c>
      <c r="B27" s="397" t="s">
        <v>58</v>
      </c>
      <c r="C27" s="135" t="s">
        <v>342</v>
      </c>
      <c r="D27" s="136">
        <v>19</v>
      </c>
      <c r="E27" s="136">
        <v>19</v>
      </c>
      <c r="F27" s="136">
        <v>146</v>
      </c>
      <c r="G27" s="136">
        <v>230</v>
      </c>
      <c r="H27" s="136">
        <v>0</v>
      </c>
      <c r="I27" s="136">
        <v>0</v>
      </c>
      <c r="J27" s="136">
        <v>0</v>
      </c>
      <c r="K27" s="136">
        <v>0</v>
      </c>
      <c r="L27" s="136">
        <v>10</v>
      </c>
      <c r="M27" s="136">
        <v>10</v>
      </c>
      <c r="N27" s="136">
        <v>6</v>
      </c>
      <c r="O27" s="136">
        <v>2</v>
      </c>
      <c r="P27" s="136">
        <v>0</v>
      </c>
      <c r="Q27" s="136">
        <v>0</v>
      </c>
      <c r="R27" s="136">
        <v>17</v>
      </c>
      <c r="S27" s="136">
        <v>19</v>
      </c>
      <c r="T27" s="136">
        <v>0</v>
      </c>
      <c r="U27" s="136">
        <v>0</v>
      </c>
      <c r="V27" s="136">
        <v>0</v>
      </c>
      <c r="W27" s="136">
        <v>0</v>
      </c>
    </row>
    <row r="28" spans="1:23" ht="25.5">
      <c r="A28" s="397"/>
      <c r="B28" s="397"/>
      <c r="C28" s="135" t="s">
        <v>343</v>
      </c>
      <c r="D28" s="136">
        <v>0</v>
      </c>
      <c r="E28" s="136">
        <v>0</v>
      </c>
      <c r="F28" s="136">
        <v>1</v>
      </c>
      <c r="G28" s="136">
        <v>1</v>
      </c>
      <c r="H28" s="136">
        <v>68</v>
      </c>
      <c r="I28" s="136">
        <v>70</v>
      </c>
      <c r="J28" s="136">
        <v>409</v>
      </c>
      <c r="K28" s="136">
        <v>360</v>
      </c>
      <c r="L28" s="136">
        <v>2</v>
      </c>
      <c r="M28" s="136">
        <v>2</v>
      </c>
      <c r="N28" s="136">
        <v>0</v>
      </c>
      <c r="O28" s="136">
        <v>0</v>
      </c>
      <c r="P28" s="136">
        <v>0</v>
      </c>
      <c r="Q28" s="136">
        <v>0</v>
      </c>
      <c r="R28" s="136">
        <v>0</v>
      </c>
      <c r="S28" s="136">
        <v>0</v>
      </c>
      <c r="T28" s="136">
        <v>5</v>
      </c>
      <c r="U28" s="136">
        <v>8</v>
      </c>
      <c r="V28" s="136">
        <v>15</v>
      </c>
      <c r="W28" s="136">
        <v>14</v>
      </c>
    </row>
    <row r="29" spans="1:23" ht="38.25">
      <c r="A29" s="397" t="s">
        <v>323</v>
      </c>
      <c r="B29" s="398" t="s">
        <v>308</v>
      </c>
      <c r="C29" s="135" t="s">
        <v>344</v>
      </c>
      <c r="D29" s="134">
        <v>5</v>
      </c>
      <c r="E29" s="134">
        <v>95</v>
      </c>
      <c r="F29" s="134">
        <v>16</v>
      </c>
      <c r="G29" s="134">
        <v>346</v>
      </c>
      <c r="H29" s="134">
        <v>0</v>
      </c>
      <c r="I29" s="134">
        <v>0</v>
      </c>
      <c r="J29" s="134">
        <v>0</v>
      </c>
      <c r="K29" s="134">
        <v>0</v>
      </c>
      <c r="L29" s="134">
        <v>7</v>
      </c>
      <c r="M29" s="134">
        <v>59</v>
      </c>
      <c r="N29" s="134">
        <v>0</v>
      </c>
      <c r="O29" s="134">
        <v>0</v>
      </c>
      <c r="P29" s="134">
        <v>0</v>
      </c>
      <c r="Q29" s="134">
        <v>0</v>
      </c>
      <c r="R29" s="134">
        <v>0</v>
      </c>
      <c r="S29" s="134">
        <v>4</v>
      </c>
      <c r="T29" s="134">
        <v>5</v>
      </c>
      <c r="U29" s="134">
        <v>47</v>
      </c>
      <c r="V29" s="134">
        <v>0</v>
      </c>
      <c r="W29" s="134">
        <v>0</v>
      </c>
    </row>
    <row r="30" spans="1:23" ht="25.5">
      <c r="A30" s="397"/>
      <c r="B30" s="398"/>
      <c r="C30" s="135" t="s">
        <v>345</v>
      </c>
      <c r="D30" s="134">
        <v>0</v>
      </c>
      <c r="E30" s="134">
        <v>0</v>
      </c>
      <c r="F30" s="134">
        <v>0</v>
      </c>
      <c r="G30" s="134">
        <v>0</v>
      </c>
      <c r="H30" s="134">
        <v>5</v>
      </c>
      <c r="I30" s="134">
        <v>38</v>
      </c>
      <c r="J30" s="134">
        <v>8</v>
      </c>
      <c r="K30" s="134">
        <v>74</v>
      </c>
      <c r="L30" s="134">
        <v>0</v>
      </c>
      <c r="M30" s="136">
        <v>0</v>
      </c>
      <c r="N30" s="136">
        <v>0</v>
      </c>
      <c r="O30" s="136">
        <v>0</v>
      </c>
      <c r="P30" s="136">
        <v>0</v>
      </c>
      <c r="Q30" s="136">
        <v>0</v>
      </c>
      <c r="R30" s="134">
        <v>0</v>
      </c>
      <c r="S30" s="134">
        <v>0</v>
      </c>
      <c r="T30" s="134">
        <v>1</v>
      </c>
      <c r="U30" s="134">
        <v>22</v>
      </c>
      <c r="V30" s="134">
        <v>1</v>
      </c>
      <c r="W30" s="134">
        <v>12</v>
      </c>
    </row>
    <row r="31" spans="1:23">
      <c r="A31" s="133" t="s">
        <v>323</v>
      </c>
      <c r="B31" s="135" t="s">
        <v>308</v>
      </c>
      <c r="C31" s="135" t="s">
        <v>48</v>
      </c>
      <c r="D31" s="136">
        <v>16</v>
      </c>
      <c r="E31" s="136">
        <v>124</v>
      </c>
      <c r="F31" s="136">
        <v>31</v>
      </c>
      <c r="G31" s="136">
        <v>233</v>
      </c>
      <c r="H31" s="136">
        <v>31</v>
      </c>
      <c r="I31" s="136">
        <v>85</v>
      </c>
      <c r="J31" s="136">
        <v>2</v>
      </c>
      <c r="K31" s="136">
        <v>7</v>
      </c>
      <c r="L31" s="136">
        <v>5</v>
      </c>
      <c r="M31" s="136">
        <v>31</v>
      </c>
      <c r="N31" s="136">
        <v>0</v>
      </c>
      <c r="O31" s="136">
        <v>3</v>
      </c>
      <c r="P31" s="136">
        <v>0</v>
      </c>
      <c r="Q31" s="136">
        <v>0</v>
      </c>
      <c r="R31" s="136">
        <v>9</v>
      </c>
      <c r="S31" s="136">
        <v>68</v>
      </c>
      <c r="T31" s="136">
        <v>14</v>
      </c>
      <c r="U31" s="136">
        <v>121</v>
      </c>
      <c r="V31" s="136">
        <v>1</v>
      </c>
      <c r="W31" s="136">
        <v>7</v>
      </c>
    </row>
    <row r="32" spans="1:23" ht="25.5">
      <c r="A32" s="397" t="s">
        <v>323</v>
      </c>
      <c r="B32" s="397" t="s">
        <v>70</v>
      </c>
      <c r="C32" s="135" t="s">
        <v>346</v>
      </c>
      <c r="D32" s="134">
        <v>99</v>
      </c>
      <c r="E32" s="136">
        <v>58</v>
      </c>
      <c r="F32" s="136">
        <v>387</v>
      </c>
      <c r="G32" s="136">
        <v>228</v>
      </c>
      <c r="H32" s="136">
        <v>2</v>
      </c>
      <c r="I32" s="136">
        <v>1</v>
      </c>
      <c r="J32" s="136">
        <v>0</v>
      </c>
      <c r="K32" s="136">
        <v>0</v>
      </c>
      <c r="L32" s="136">
        <v>8</v>
      </c>
      <c r="M32" s="136">
        <v>3</v>
      </c>
      <c r="N32" s="136">
        <v>15</v>
      </c>
      <c r="O32" s="136">
        <v>9</v>
      </c>
      <c r="P32" s="136">
        <v>0</v>
      </c>
      <c r="Q32" s="136">
        <v>0</v>
      </c>
      <c r="R32" s="136">
        <v>1</v>
      </c>
      <c r="S32" s="136">
        <v>1</v>
      </c>
      <c r="T32" s="136">
        <v>0</v>
      </c>
      <c r="U32" s="136">
        <v>0</v>
      </c>
      <c r="V32" s="136">
        <v>0</v>
      </c>
      <c r="W32" s="136">
        <v>0</v>
      </c>
    </row>
    <row r="33" spans="1:23" ht="38.25">
      <c r="A33" s="397"/>
      <c r="B33" s="397"/>
      <c r="C33" s="135" t="s">
        <v>347</v>
      </c>
      <c r="D33" s="134">
        <v>0</v>
      </c>
      <c r="E33" s="136">
        <v>0</v>
      </c>
      <c r="F33" s="136">
        <v>7</v>
      </c>
      <c r="G33" s="136">
        <v>5</v>
      </c>
      <c r="H33" s="136">
        <f>34+57</f>
        <v>91</v>
      </c>
      <c r="I33" s="136">
        <f>27+41</f>
        <v>68</v>
      </c>
      <c r="J33" s="136">
        <f>26+250</f>
        <v>276</v>
      </c>
      <c r="K33" s="136">
        <f>24+310</f>
        <v>334</v>
      </c>
      <c r="L33" s="136">
        <v>2</v>
      </c>
      <c r="M33" s="136">
        <v>5</v>
      </c>
      <c r="N33" s="136">
        <v>2</v>
      </c>
      <c r="O33" s="136">
        <v>0</v>
      </c>
      <c r="P33" s="136">
        <v>0</v>
      </c>
      <c r="Q33" s="136">
        <v>0</v>
      </c>
      <c r="R33" s="136">
        <v>0</v>
      </c>
      <c r="S33" s="136">
        <v>0</v>
      </c>
      <c r="T33" s="136">
        <f>2+3</f>
        <v>5</v>
      </c>
      <c r="U33" s="136">
        <f>1+3</f>
        <v>4</v>
      </c>
      <c r="V33" s="136">
        <f>3+13</f>
        <v>16</v>
      </c>
      <c r="W33" s="136">
        <f>1+18</f>
        <v>19</v>
      </c>
    </row>
    <row r="34" spans="1:23">
      <c r="C34" s="135" t="s">
        <v>126</v>
      </c>
      <c r="D34" s="133">
        <f>SUM(D4:D33)</f>
        <v>1205</v>
      </c>
      <c r="E34" s="133">
        <f t="shared" ref="E34:W34" si="0">SUM(E4:E33)</f>
        <v>2008</v>
      </c>
      <c r="F34" s="133">
        <f t="shared" si="0"/>
        <v>5151</v>
      </c>
      <c r="G34" s="133">
        <f t="shared" si="0"/>
        <v>8040</v>
      </c>
      <c r="H34" s="133">
        <f t="shared" si="0"/>
        <v>2045</v>
      </c>
      <c r="I34" s="133">
        <f t="shared" si="0"/>
        <v>1967</v>
      </c>
      <c r="J34" s="133">
        <f t="shared" si="0"/>
        <v>6817</v>
      </c>
      <c r="K34" s="133">
        <f t="shared" si="0"/>
        <v>6332</v>
      </c>
      <c r="L34" s="133">
        <f t="shared" si="0"/>
        <v>440</v>
      </c>
      <c r="M34" s="133">
        <f t="shared" si="0"/>
        <v>767</v>
      </c>
      <c r="N34" s="133">
        <f t="shared" si="0"/>
        <v>95</v>
      </c>
      <c r="O34" s="133">
        <f t="shared" si="0"/>
        <v>63</v>
      </c>
      <c r="P34" s="133">
        <f t="shared" si="0"/>
        <v>1</v>
      </c>
      <c r="Q34" s="133">
        <f t="shared" si="0"/>
        <v>1</v>
      </c>
      <c r="R34" s="133">
        <f t="shared" si="0"/>
        <v>188</v>
      </c>
      <c r="S34" s="133">
        <f t="shared" si="0"/>
        <v>709</v>
      </c>
      <c r="T34" s="133">
        <f t="shared" si="0"/>
        <v>450</v>
      </c>
      <c r="U34" s="133">
        <f t="shared" si="0"/>
        <v>1024</v>
      </c>
      <c r="V34" s="133">
        <f t="shared" si="0"/>
        <v>292</v>
      </c>
      <c r="W34" s="133">
        <f t="shared" si="0"/>
        <v>296</v>
      </c>
    </row>
  </sheetData>
  <mergeCells count="21"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29:A30"/>
    <mergeCell ref="B29:B30"/>
    <mergeCell ref="A32:A33"/>
    <mergeCell ref="B32:B33"/>
    <mergeCell ref="V2:W2"/>
    <mergeCell ref="A12:A13"/>
    <mergeCell ref="B12:B13"/>
    <mergeCell ref="A14:A15"/>
    <mergeCell ref="B14:B15"/>
    <mergeCell ref="A27:A28"/>
    <mergeCell ref="B27:B28"/>
  </mergeCells>
  <pageMargins left="0.7" right="0.7" top="0.75" bottom="0.75" header="0.3" footer="0.3"/>
  <pageSetup paperSize="9" scale="5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topLeftCell="A4" zoomScaleNormal="100" workbookViewId="0">
      <selection activeCell="D21" sqref="D21"/>
    </sheetView>
  </sheetViews>
  <sheetFormatPr defaultColWidth="9.140625" defaultRowHeight="12"/>
  <cols>
    <col min="1" max="1" width="24.85546875" style="38" customWidth="1"/>
    <col min="2" max="2" width="25.5703125" style="38" customWidth="1"/>
    <col min="3" max="3" width="31.85546875" style="38" customWidth="1"/>
    <col min="4" max="4" width="6.85546875" style="231" customWidth="1"/>
    <col min="5" max="5" width="5.28515625" style="231" bestFit="1" customWidth="1"/>
    <col min="6" max="6" width="6.85546875" style="231" customWidth="1"/>
    <col min="7" max="7" width="5.85546875" style="231" customWidth="1"/>
    <col min="8" max="8" width="6.85546875" style="231" customWidth="1"/>
    <col min="9" max="9" width="6.140625" style="231" customWidth="1"/>
    <col min="10" max="10" width="6.7109375" style="231" customWidth="1"/>
    <col min="11" max="11" width="5.85546875" style="231" customWidth="1"/>
    <col min="12" max="12" width="6.140625" style="231" customWidth="1"/>
    <col min="13" max="13" width="8.140625" style="231" customWidth="1"/>
    <col min="14" max="14" width="6.42578125" style="231" customWidth="1"/>
    <col min="15" max="17" width="7.7109375" style="231" customWidth="1"/>
    <col min="18" max="18" width="7" style="231" customWidth="1"/>
    <col min="19" max="19" width="6.28515625" style="231" customWidth="1"/>
    <col min="20" max="20" width="6.85546875" style="231" customWidth="1"/>
    <col min="21" max="21" width="6.140625" style="231" customWidth="1"/>
    <col min="22" max="22" width="6.5703125" style="231" customWidth="1"/>
    <col min="23" max="23" width="5.7109375" style="231" customWidth="1"/>
    <col min="24" max="16384" width="9.140625" style="38"/>
  </cols>
  <sheetData>
    <row r="1" spans="1:23" ht="12.75">
      <c r="A1" s="404" t="s">
        <v>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</row>
    <row r="2" spans="1:23" ht="105.75" customHeight="1">
      <c r="A2" s="1" t="s">
        <v>0</v>
      </c>
      <c r="B2" s="1" t="s">
        <v>4</v>
      </c>
      <c r="C2" s="1" t="s">
        <v>1</v>
      </c>
      <c r="D2" s="311" t="s">
        <v>5</v>
      </c>
      <c r="E2" s="321"/>
      <c r="F2" s="325" t="s">
        <v>2</v>
      </c>
      <c r="G2" s="321"/>
      <c r="H2" s="311" t="s">
        <v>10</v>
      </c>
      <c r="I2" s="321"/>
      <c r="J2" s="326" t="s">
        <v>11</v>
      </c>
      <c r="K2" s="321"/>
      <c r="L2" s="326" t="s">
        <v>9</v>
      </c>
      <c r="M2" s="327"/>
      <c r="N2" s="326" t="s">
        <v>14</v>
      </c>
      <c r="O2" s="327"/>
      <c r="P2" s="326" t="s">
        <v>15</v>
      </c>
      <c r="Q2" s="327"/>
      <c r="R2" s="311" t="s">
        <v>3</v>
      </c>
      <c r="S2" s="321"/>
      <c r="T2" s="311" t="s">
        <v>12</v>
      </c>
      <c r="U2" s="321"/>
      <c r="V2" s="311" t="s">
        <v>13</v>
      </c>
      <c r="W2" s="319"/>
    </row>
    <row r="3" spans="1:23" ht="25.5">
      <c r="A3" s="129"/>
      <c r="B3" s="129"/>
      <c r="C3" s="129"/>
      <c r="D3" s="64" t="s">
        <v>6</v>
      </c>
      <c r="E3" s="64" t="s">
        <v>7</v>
      </c>
      <c r="F3" s="64" t="s">
        <v>6</v>
      </c>
      <c r="G3" s="64" t="s">
        <v>7</v>
      </c>
      <c r="H3" s="64" t="s">
        <v>6</v>
      </c>
      <c r="I3" s="64" t="s">
        <v>7</v>
      </c>
      <c r="J3" s="64" t="s">
        <v>6</v>
      </c>
      <c r="K3" s="64" t="s">
        <v>7</v>
      </c>
      <c r="L3" s="64" t="s">
        <v>6</v>
      </c>
      <c r="M3" s="64" t="s">
        <v>7</v>
      </c>
      <c r="N3" s="64" t="s">
        <v>6</v>
      </c>
      <c r="O3" s="64" t="s">
        <v>7</v>
      </c>
      <c r="P3" s="64" t="s">
        <v>6</v>
      </c>
      <c r="Q3" s="64" t="s">
        <v>7</v>
      </c>
      <c r="R3" s="64" t="s">
        <v>6</v>
      </c>
      <c r="S3" s="64" t="s">
        <v>7</v>
      </c>
      <c r="T3" s="64" t="s">
        <v>6</v>
      </c>
      <c r="U3" s="64" t="s">
        <v>7</v>
      </c>
      <c r="V3" s="64" t="s">
        <v>6</v>
      </c>
      <c r="W3" s="64" t="s">
        <v>7</v>
      </c>
    </row>
    <row r="4" spans="1:23" ht="25.5">
      <c r="A4" s="229" t="s">
        <v>448</v>
      </c>
      <c r="B4" s="229" t="s">
        <v>332</v>
      </c>
      <c r="C4" s="230" t="s">
        <v>147</v>
      </c>
      <c r="D4" s="134">
        <v>39</v>
      </c>
      <c r="E4" s="134">
        <v>167</v>
      </c>
      <c r="F4" s="134">
        <v>140</v>
      </c>
      <c r="G4" s="134">
        <v>649</v>
      </c>
      <c r="H4" s="134">
        <v>25</v>
      </c>
      <c r="I4" s="134">
        <v>92</v>
      </c>
      <c r="J4" s="134">
        <v>164</v>
      </c>
      <c r="K4" s="134">
        <v>273</v>
      </c>
      <c r="L4" s="134">
        <v>8</v>
      </c>
      <c r="M4" s="134">
        <v>18</v>
      </c>
      <c r="N4" s="134">
        <v>4</v>
      </c>
      <c r="O4" s="134">
        <v>7</v>
      </c>
      <c r="P4" s="134">
        <v>0</v>
      </c>
      <c r="Q4" s="134">
        <v>0</v>
      </c>
      <c r="R4" s="134">
        <v>9</v>
      </c>
      <c r="S4" s="134">
        <v>81</v>
      </c>
      <c r="T4" s="134">
        <v>10</v>
      </c>
      <c r="U4" s="134">
        <v>49</v>
      </c>
      <c r="V4" s="134">
        <v>3</v>
      </c>
      <c r="W4" s="134">
        <v>4</v>
      </c>
    </row>
    <row r="5" spans="1:23" ht="25.5">
      <c r="A5" s="229" t="s">
        <v>448</v>
      </c>
      <c r="B5" s="229" t="s">
        <v>332</v>
      </c>
      <c r="C5" s="230" t="s">
        <v>449</v>
      </c>
      <c r="D5" s="134">
        <v>10</v>
      </c>
      <c r="E5" s="134">
        <v>203</v>
      </c>
      <c r="F5" s="134">
        <v>29</v>
      </c>
      <c r="G5" s="134">
        <v>761</v>
      </c>
      <c r="H5" s="134">
        <v>10</v>
      </c>
      <c r="I5" s="134">
        <v>225</v>
      </c>
      <c r="J5" s="134">
        <v>49</v>
      </c>
      <c r="K5" s="134">
        <v>354</v>
      </c>
      <c r="L5" s="134">
        <v>3</v>
      </c>
      <c r="M5" s="134">
        <v>19</v>
      </c>
      <c r="N5" s="134">
        <v>2</v>
      </c>
      <c r="O5" s="134">
        <v>10</v>
      </c>
      <c r="P5" s="134">
        <v>0</v>
      </c>
      <c r="Q5" s="134">
        <v>0</v>
      </c>
      <c r="R5" s="134">
        <v>1</v>
      </c>
      <c r="S5" s="134">
        <v>27</v>
      </c>
      <c r="T5" s="134">
        <v>1</v>
      </c>
      <c r="U5" s="134">
        <v>93</v>
      </c>
      <c r="V5" s="134">
        <v>0</v>
      </c>
      <c r="W5" s="134">
        <v>26</v>
      </c>
    </row>
    <row r="6" spans="1:23" ht="12.75">
      <c r="A6" s="229" t="s">
        <v>448</v>
      </c>
      <c r="B6" s="229" t="s">
        <v>450</v>
      </c>
      <c r="C6" s="230" t="s">
        <v>30</v>
      </c>
      <c r="D6" s="134">
        <v>42</v>
      </c>
      <c r="E6" s="134">
        <v>83</v>
      </c>
      <c r="F6" s="134">
        <v>123</v>
      </c>
      <c r="G6" s="134">
        <v>301</v>
      </c>
      <c r="H6" s="134">
        <v>49</v>
      </c>
      <c r="I6" s="134">
        <v>87</v>
      </c>
      <c r="J6" s="134">
        <v>63</v>
      </c>
      <c r="K6" s="134">
        <v>94</v>
      </c>
      <c r="L6" s="134">
        <v>23</v>
      </c>
      <c r="M6" s="134">
        <v>34</v>
      </c>
      <c r="N6" s="134">
        <v>7</v>
      </c>
      <c r="O6" s="134">
        <v>7</v>
      </c>
      <c r="P6" s="134">
        <v>0</v>
      </c>
      <c r="Q6" s="134">
        <v>0</v>
      </c>
      <c r="R6" s="134">
        <v>0</v>
      </c>
      <c r="S6" s="134">
        <v>30</v>
      </c>
      <c r="T6" s="134">
        <v>19</v>
      </c>
      <c r="U6" s="134">
        <v>36</v>
      </c>
      <c r="V6" s="134">
        <v>5</v>
      </c>
      <c r="W6" s="134">
        <v>6</v>
      </c>
    </row>
    <row r="7" spans="1:23" ht="38.25">
      <c r="A7" s="229" t="s">
        <v>448</v>
      </c>
      <c r="B7" s="230" t="s">
        <v>450</v>
      </c>
      <c r="C7" s="230" t="s">
        <v>451</v>
      </c>
      <c r="D7" s="134">
        <v>21</v>
      </c>
      <c r="E7" s="134">
        <v>26</v>
      </c>
      <c r="F7" s="134">
        <v>154</v>
      </c>
      <c r="G7" s="134">
        <v>206</v>
      </c>
      <c r="H7" s="134">
        <v>101</v>
      </c>
      <c r="I7" s="134">
        <v>108</v>
      </c>
      <c r="J7" s="134">
        <v>297</v>
      </c>
      <c r="K7" s="134">
        <v>248</v>
      </c>
      <c r="L7" s="134">
        <v>12</v>
      </c>
      <c r="M7" s="134">
        <v>5</v>
      </c>
      <c r="N7" s="134">
        <v>6</v>
      </c>
      <c r="O7" s="134">
        <v>1</v>
      </c>
      <c r="P7" s="134">
        <v>0</v>
      </c>
      <c r="Q7" s="134">
        <v>0</v>
      </c>
      <c r="R7" s="134">
        <v>0</v>
      </c>
      <c r="S7" s="134">
        <v>5</v>
      </c>
      <c r="T7" s="134">
        <v>16</v>
      </c>
      <c r="U7" s="134">
        <v>27</v>
      </c>
      <c r="V7" s="134">
        <v>20</v>
      </c>
      <c r="W7" s="134">
        <v>18</v>
      </c>
    </row>
    <row r="8" spans="1:23" ht="38.25">
      <c r="A8" s="229" t="s">
        <v>448</v>
      </c>
      <c r="B8" s="230" t="s">
        <v>450</v>
      </c>
      <c r="C8" s="230" t="s">
        <v>452</v>
      </c>
      <c r="D8" s="134">
        <v>26</v>
      </c>
      <c r="E8" s="134">
        <v>26</v>
      </c>
      <c r="F8" s="134">
        <v>165</v>
      </c>
      <c r="G8" s="134">
        <v>186</v>
      </c>
      <c r="H8" s="134">
        <v>103</v>
      </c>
      <c r="I8" s="134">
        <v>100</v>
      </c>
      <c r="J8" s="134">
        <v>276</v>
      </c>
      <c r="K8" s="134">
        <v>230</v>
      </c>
      <c r="L8" s="134">
        <v>13</v>
      </c>
      <c r="M8" s="134">
        <v>9</v>
      </c>
      <c r="N8" s="134">
        <v>4</v>
      </c>
      <c r="O8" s="134">
        <v>4</v>
      </c>
      <c r="P8" s="134">
        <v>0</v>
      </c>
      <c r="Q8" s="134">
        <v>0</v>
      </c>
      <c r="R8" s="134">
        <v>0</v>
      </c>
      <c r="S8" s="134">
        <v>0</v>
      </c>
      <c r="T8" s="134">
        <v>18</v>
      </c>
      <c r="U8" s="134">
        <v>20</v>
      </c>
      <c r="V8" s="134">
        <v>16</v>
      </c>
      <c r="W8" s="134">
        <v>21</v>
      </c>
    </row>
    <row r="9" spans="1:23" ht="25.5">
      <c r="A9" s="229" t="s">
        <v>448</v>
      </c>
      <c r="B9" s="230" t="s">
        <v>450</v>
      </c>
      <c r="C9" s="230" t="s">
        <v>453</v>
      </c>
      <c r="D9" s="134">
        <v>9</v>
      </c>
      <c r="E9" s="134">
        <v>11</v>
      </c>
      <c r="F9" s="134">
        <v>123</v>
      </c>
      <c r="G9" s="134">
        <v>100</v>
      </c>
      <c r="H9" s="134">
        <v>71</v>
      </c>
      <c r="I9" s="134">
        <v>85</v>
      </c>
      <c r="J9" s="134">
        <v>234</v>
      </c>
      <c r="K9" s="134">
        <v>203</v>
      </c>
      <c r="L9" s="134">
        <v>9</v>
      </c>
      <c r="M9" s="134">
        <v>6</v>
      </c>
      <c r="N9" s="134">
        <v>7</v>
      </c>
      <c r="O9" s="134">
        <v>1</v>
      </c>
      <c r="P9" s="134">
        <v>0</v>
      </c>
      <c r="Q9" s="134">
        <v>0</v>
      </c>
      <c r="R9" s="134">
        <v>0</v>
      </c>
      <c r="S9" s="134">
        <v>3</v>
      </c>
      <c r="T9" s="134">
        <v>6</v>
      </c>
      <c r="U9" s="134">
        <v>23</v>
      </c>
      <c r="V9" s="134">
        <v>9</v>
      </c>
      <c r="W9" s="134">
        <v>21</v>
      </c>
    </row>
    <row r="10" spans="1:23" ht="25.5">
      <c r="A10" s="229" t="s">
        <v>448</v>
      </c>
      <c r="B10" s="230" t="s">
        <v>450</v>
      </c>
      <c r="C10" s="230" t="s">
        <v>454</v>
      </c>
      <c r="D10" s="134">
        <v>182</v>
      </c>
      <c r="E10" s="134">
        <v>35</v>
      </c>
      <c r="F10" s="134">
        <v>657</v>
      </c>
      <c r="G10" s="134">
        <v>146</v>
      </c>
      <c r="H10" s="134">
        <v>206</v>
      </c>
      <c r="I10" s="134">
        <v>39</v>
      </c>
      <c r="J10" s="134">
        <v>488</v>
      </c>
      <c r="K10" s="134">
        <v>79</v>
      </c>
      <c r="L10" s="134">
        <v>37</v>
      </c>
      <c r="M10" s="134">
        <v>13</v>
      </c>
      <c r="N10" s="134">
        <v>22</v>
      </c>
      <c r="O10" s="134">
        <v>3</v>
      </c>
      <c r="P10" s="134">
        <v>0</v>
      </c>
      <c r="Q10" s="134">
        <v>0</v>
      </c>
      <c r="R10" s="134">
        <v>17</v>
      </c>
      <c r="S10" s="134">
        <v>8</v>
      </c>
      <c r="T10" s="134">
        <v>34</v>
      </c>
      <c r="U10" s="134">
        <v>10</v>
      </c>
      <c r="V10" s="134">
        <v>30</v>
      </c>
      <c r="W10" s="134">
        <v>13</v>
      </c>
    </row>
    <row r="11" spans="1:23" ht="25.5">
      <c r="A11" s="229" t="s">
        <v>448</v>
      </c>
      <c r="B11" s="230" t="s">
        <v>450</v>
      </c>
      <c r="C11" s="230" t="s">
        <v>34</v>
      </c>
      <c r="D11" s="134">
        <v>35</v>
      </c>
      <c r="E11" s="134">
        <v>20</v>
      </c>
      <c r="F11" s="134">
        <v>227</v>
      </c>
      <c r="G11" s="134">
        <v>141</v>
      </c>
      <c r="H11" s="134">
        <v>132</v>
      </c>
      <c r="I11" s="134">
        <v>81</v>
      </c>
      <c r="J11" s="134">
        <v>408</v>
      </c>
      <c r="K11" s="134">
        <v>190</v>
      </c>
      <c r="L11" s="134">
        <v>13</v>
      </c>
      <c r="M11" s="134">
        <v>13</v>
      </c>
      <c r="N11" s="134">
        <v>6</v>
      </c>
      <c r="O11" s="134">
        <v>6</v>
      </c>
      <c r="P11" s="134">
        <v>0</v>
      </c>
      <c r="Q11" s="134">
        <v>0</v>
      </c>
      <c r="R11" s="134">
        <v>11</v>
      </c>
      <c r="S11" s="134">
        <v>0</v>
      </c>
      <c r="T11" s="134">
        <v>15</v>
      </c>
      <c r="U11" s="134">
        <v>15</v>
      </c>
      <c r="V11" s="134">
        <v>37</v>
      </c>
      <c r="W11" s="134">
        <v>20</v>
      </c>
    </row>
    <row r="12" spans="1:23" ht="25.5">
      <c r="A12" s="229" t="s">
        <v>448</v>
      </c>
      <c r="B12" s="230" t="s">
        <v>450</v>
      </c>
      <c r="C12" s="230" t="s">
        <v>35</v>
      </c>
      <c r="D12" s="134">
        <v>38</v>
      </c>
      <c r="E12" s="134">
        <v>77</v>
      </c>
      <c r="F12" s="134">
        <v>149</v>
      </c>
      <c r="G12" s="134">
        <v>292</v>
      </c>
      <c r="H12" s="134">
        <v>29</v>
      </c>
      <c r="I12" s="134">
        <v>60</v>
      </c>
      <c r="J12" s="134">
        <v>90</v>
      </c>
      <c r="K12" s="134">
        <v>107</v>
      </c>
      <c r="L12" s="134">
        <v>17</v>
      </c>
      <c r="M12" s="134">
        <v>30</v>
      </c>
      <c r="N12" s="134">
        <v>1</v>
      </c>
      <c r="O12" s="134">
        <v>14</v>
      </c>
      <c r="P12" s="134">
        <v>0</v>
      </c>
      <c r="Q12" s="134">
        <v>0</v>
      </c>
      <c r="R12" s="134">
        <v>13</v>
      </c>
      <c r="S12" s="134">
        <v>19</v>
      </c>
      <c r="T12" s="134">
        <v>6</v>
      </c>
      <c r="U12" s="134">
        <v>32</v>
      </c>
      <c r="V12" s="134">
        <v>2</v>
      </c>
      <c r="W12" s="134">
        <v>8</v>
      </c>
    </row>
    <row r="13" spans="1:23" ht="12.75">
      <c r="A13" s="229" t="s">
        <v>448</v>
      </c>
      <c r="B13" s="230" t="s">
        <v>61</v>
      </c>
      <c r="C13" s="230" t="s">
        <v>455</v>
      </c>
      <c r="D13" s="134">
        <v>53</v>
      </c>
      <c r="E13" s="134">
        <v>81</v>
      </c>
      <c r="F13" s="134">
        <v>323</v>
      </c>
      <c r="G13" s="134">
        <v>442</v>
      </c>
      <c r="H13" s="134">
        <v>31</v>
      </c>
      <c r="I13" s="134">
        <v>39</v>
      </c>
      <c r="J13" s="134">
        <v>70</v>
      </c>
      <c r="K13" s="134">
        <v>75</v>
      </c>
      <c r="L13" s="134">
        <v>11</v>
      </c>
      <c r="M13" s="134">
        <v>20</v>
      </c>
      <c r="N13" s="134">
        <v>2</v>
      </c>
      <c r="O13" s="134">
        <v>2</v>
      </c>
      <c r="P13" s="134">
        <v>0</v>
      </c>
      <c r="Q13" s="134">
        <v>0</v>
      </c>
      <c r="R13" s="134">
        <v>0</v>
      </c>
      <c r="S13" s="134">
        <v>55</v>
      </c>
      <c r="T13" s="134">
        <v>8</v>
      </c>
      <c r="U13" s="134">
        <v>10</v>
      </c>
      <c r="V13" s="134">
        <v>4</v>
      </c>
      <c r="W13" s="134">
        <v>6</v>
      </c>
    </row>
    <row r="14" spans="1:23" ht="12.75">
      <c r="A14" s="229" t="s">
        <v>448</v>
      </c>
      <c r="B14" s="230" t="s">
        <v>456</v>
      </c>
      <c r="C14" s="230" t="s">
        <v>457</v>
      </c>
      <c r="D14" s="134">
        <v>38</v>
      </c>
      <c r="E14" s="134">
        <v>77</v>
      </c>
      <c r="F14" s="134">
        <v>149</v>
      </c>
      <c r="G14" s="134">
        <v>292</v>
      </c>
      <c r="H14" s="134">
        <v>29</v>
      </c>
      <c r="I14" s="134">
        <v>60</v>
      </c>
      <c r="J14" s="134">
        <v>90</v>
      </c>
      <c r="K14" s="134">
        <v>107</v>
      </c>
      <c r="L14" s="134">
        <v>17</v>
      </c>
      <c r="M14" s="134">
        <v>30</v>
      </c>
      <c r="N14" s="134">
        <v>1</v>
      </c>
      <c r="O14" s="134">
        <v>14</v>
      </c>
      <c r="P14" s="134">
        <v>0</v>
      </c>
      <c r="Q14" s="134">
        <v>0</v>
      </c>
      <c r="R14" s="134">
        <v>13</v>
      </c>
      <c r="S14" s="134">
        <v>19</v>
      </c>
      <c r="T14" s="134">
        <v>6</v>
      </c>
      <c r="U14" s="134">
        <v>32</v>
      </c>
      <c r="V14" s="134">
        <v>2</v>
      </c>
      <c r="W14" s="134">
        <v>8</v>
      </c>
    </row>
    <row r="15" spans="1:23" ht="12.75">
      <c r="A15" s="229" t="s">
        <v>448</v>
      </c>
      <c r="B15" s="230" t="s">
        <v>456</v>
      </c>
      <c r="C15" s="230" t="s">
        <v>38</v>
      </c>
      <c r="D15" s="134">
        <v>81</v>
      </c>
      <c r="E15" s="134">
        <v>58</v>
      </c>
      <c r="F15" s="134">
        <v>442</v>
      </c>
      <c r="G15" s="134">
        <v>398</v>
      </c>
      <c r="H15" s="134">
        <v>214</v>
      </c>
      <c r="I15" s="134">
        <v>151</v>
      </c>
      <c r="J15" s="134">
        <v>523</v>
      </c>
      <c r="K15" s="134">
        <v>287</v>
      </c>
      <c r="L15" s="134">
        <v>32</v>
      </c>
      <c r="M15" s="134">
        <v>18</v>
      </c>
      <c r="N15" s="134">
        <v>7</v>
      </c>
      <c r="O15" s="134">
        <v>4</v>
      </c>
      <c r="P15" s="134">
        <v>0</v>
      </c>
      <c r="Q15" s="134">
        <v>0</v>
      </c>
      <c r="R15" s="134">
        <v>3</v>
      </c>
      <c r="S15" s="134">
        <v>17</v>
      </c>
      <c r="T15" s="134">
        <v>48</v>
      </c>
      <c r="U15" s="134">
        <v>42</v>
      </c>
      <c r="V15" s="134">
        <v>34</v>
      </c>
      <c r="W15" s="134">
        <v>14</v>
      </c>
    </row>
    <row r="16" spans="1:23" ht="12.75">
      <c r="A16" s="229" t="s">
        <v>448</v>
      </c>
      <c r="B16" s="230" t="s">
        <v>456</v>
      </c>
      <c r="C16" s="230" t="s">
        <v>138</v>
      </c>
      <c r="D16" s="134">
        <v>41</v>
      </c>
      <c r="E16" s="134">
        <v>86</v>
      </c>
      <c r="F16" s="134">
        <v>232</v>
      </c>
      <c r="G16" s="134">
        <v>381</v>
      </c>
      <c r="H16" s="134">
        <v>50</v>
      </c>
      <c r="I16" s="134">
        <v>86</v>
      </c>
      <c r="J16" s="134">
        <v>169</v>
      </c>
      <c r="K16" s="134">
        <v>281</v>
      </c>
      <c r="L16" s="134">
        <v>27</v>
      </c>
      <c r="M16" s="134">
        <v>57</v>
      </c>
      <c r="N16" s="134">
        <v>3</v>
      </c>
      <c r="O16" s="134">
        <v>1</v>
      </c>
      <c r="P16" s="134">
        <v>0</v>
      </c>
      <c r="Q16" s="134">
        <v>0</v>
      </c>
      <c r="R16" s="134">
        <v>20</v>
      </c>
      <c r="S16" s="134">
        <v>23</v>
      </c>
      <c r="T16" s="134">
        <v>18</v>
      </c>
      <c r="U16" s="134">
        <v>30</v>
      </c>
      <c r="V16" s="134">
        <v>7</v>
      </c>
      <c r="W16" s="134">
        <v>11</v>
      </c>
    </row>
    <row r="17" spans="1:23" ht="12.75">
      <c r="A17" s="229" t="s">
        <v>448</v>
      </c>
      <c r="B17" s="230" t="s">
        <v>456</v>
      </c>
      <c r="C17" s="230" t="s">
        <v>48</v>
      </c>
      <c r="D17" s="134">
        <v>13</v>
      </c>
      <c r="E17" s="134">
        <v>121</v>
      </c>
      <c r="F17" s="134">
        <v>65</v>
      </c>
      <c r="G17" s="134">
        <v>473</v>
      </c>
      <c r="H17" s="134">
        <v>18</v>
      </c>
      <c r="I17" s="134">
        <v>114</v>
      </c>
      <c r="J17" s="134">
        <v>80</v>
      </c>
      <c r="K17" s="134">
        <v>296</v>
      </c>
      <c r="L17" s="134">
        <v>18</v>
      </c>
      <c r="M17" s="134">
        <v>79</v>
      </c>
      <c r="N17" s="134">
        <v>2</v>
      </c>
      <c r="O17" s="134">
        <v>3</v>
      </c>
      <c r="P17" s="134">
        <v>0</v>
      </c>
      <c r="Q17" s="134">
        <v>0</v>
      </c>
      <c r="R17" s="134">
        <v>5</v>
      </c>
      <c r="S17" s="134">
        <v>25</v>
      </c>
      <c r="T17" s="134">
        <v>3</v>
      </c>
      <c r="U17" s="134">
        <v>63</v>
      </c>
      <c r="V17" s="134">
        <v>3</v>
      </c>
      <c r="W17" s="134">
        <v>13</v>
      </c>
    </row>
    <row r="18" spans="1:23" ht="12.75">
      <c r="A18" s="229" t="s">
        <v>448</v>
      </c>
      <c r="B18" s="229" t="s">
        <v>324</v>
      </c>
      <c r="C18" s="230" t="s">
        <v>44</v>
      </c>
      <c r="D18" s="134">
        <v>25</v>
      </c>
      <c r="E18" s="134">
        <v>45</v>
      </c>
      <c r="F18" s="134">
        <v>162</v>
      </c>
      <c r="G18" s="134">
        <v>259</v>
      </c>
      <c r="H18" s="134">
        <v>69</v>
      </c>
      <c r="I18" s="134">
        <v>156</v>
      </c>
      <c r="J18" s="134">
        <v>232</v>
      </c>
      <c r="K18" s="134">
        <v>419</v>
      </c>
      <c r="L18" s="134">
        <v>12</v>
      </c>
      <c r="M18" s="134">
        <v>22</v>
      </c>
      <c r="N18" s="134">
        <v>3</v>
      </c>
      <c r="O18" s="134">
        <v>4</v>
      </c>
      <c r="P18" s="134">
        <v>0</v>
      </c>
      <c r="Q18" s="134">
        <v>0</v>
      </c>
      <c r="R18" s="134">
        <v>0</v>
      </c>
      <c r="S18" s="134">
        <v>11</v>
      </c>
      <c r="T18" s="134">
        <v>12</v>
      </c>
      <c r="U18" s="134">
        <v>43</v>
      </c>
      <c r="V18" s="134">
        <v>6</v>
      </c>
      <c r="W18" s="134">
        <v>19</v>
      </c>
    </row>
    <row r="19" spans="1:23" ht="12.75">
      <c r="A19" s="229" t="s">
        <v>448</v>
      </c>
      <c r="B19" s="229" t="s">
        <v>324</v>
      </c>
      <c r="C19" s="230" t="s">
        <v>46</v>
      </c>
      <c r="D19" s="134">
        <v>12</v>
      </c>
      <c r="E19" s="134">
        <v>111</v>
      </c>
      <c r="F19" s="134">
        <v>96</v>
      </c>
      <c r="G19" s="134">
        <v>460</v>
      </c>
      <c r="H19" s="134">
        <v>26</v>
      </c>
      <c r="I19" s="134">
        <v>157</v>
      </c>
      <c r="J19" s="134">
        <v>118</v>
      </c>
      <c r="K19" s="134">
        <v>328</v>
      </c>
      <c r="L19" s="134">
        <v>14</v>
      </c>
      <c r="M19" s="134">
        <v>31</v>
      </c>
      <c r="N19" s="134">
        <v>2</v>
      </c>
      <c r="O19" s="134">
        <v>2</v>
      </c>
      <c r="P19" s="134">
        <v>0</v>
      </c>
      <c r="Q19" s="134">
        <v>0</v>
      </c>
      <c r="R19" s="134">
        <v>2</v>
      </c>
      <c r="S19" s="134">
        <v>17</v>
      </c>
      <c r="T19" s="134">
        <v>6</v>
      </c>
      <c r="U19" s="134">
        <v>50</v>
      </c>
      <c r="V19" s="134">
        <v>3</v>
      </c>
      <c r="W19" s="134">
        <v>20</v>
      </c>
    </row>
    <row r="20" spans="1:23" ht="25.5">
      <c r="A20" s="229" t="s">
        <v>448</v>
      </c>
      <c r="B20" s="229" t="s">
        <v>324</v>
      </c>
      <c r="C20" s="230" t="s">
        <v>458</v>
      </c>
      <c r="D20" s="134">
        <v>9</v>
      </c>
      <c r="E20" s="134">
        <v>70</v>
      </c>
      <c r="F20" s="134">
        <v>82</v>
      </c>
      <c r="G20" s="134">
        <v>430</v>
      </c>
      <c r="H20" s="134">
        <v>36</v>
      </c>
      <c r="I20" s="134">
        <v>171</v>
      </c>
      <c r="J20" s="134">
        <v>205</v>
      </c>
      <c r="K20" s="134">
        <v>423</v>
      </c>
      <c r="L20" s="134">
        <v>5</v>
      </c>
      <c r="M20" s="134">
        <v>17</v>
      </c>
      <c r="N20" s="134">
        <v>5</v>
      </c>
      <c r="O20" s="134">
        <v>6</v>
      </c>
      <c r="P20" s="134">
        <v>0</v>
      </c>
      <c r="Q20" s="134">
        <v>0</v>
      </c>
      <c r="R20" s="134">
        <v>0</v>
      </c>
      <c r="S20" s="134">
        <v>7</v>
      </c>
      <c r="T20" s="134">
        <v>6</v>
      </c>
      <c r="U20" s="134">
        <v>51</v>
      </c>
      <c r="V20" s="134">
        <v>2</v>
      </c>
      <c r="W20" s="134">
        <v>18</v>
      </c>
    </row>
    <row r="21" spans="1:23" ht="12.75">
      <c r="A21" s="60"/>
      <c r="B21" s="60"/>
      <c r="C21" s="60"/>
      <c r="D21" s="134">
        <f>SUM(D4:D20)</f>
        <v>674</v>
      </c>
      <c r="E21" s="134">
        <f t="shared" ref="E21:W21" si="0">SUM(E4:E20)</f>
        <v>1297</v>
      </c>
      <c r="F21" s="134">
        <f t="shared" si="0"/>
        <v>3318</v>
      </c>
      <c r="G21" s="134">
        <f t="shared" si="0"/>
        <v>5917</v>
      </c>
      <c r="H21" s="134">
        <f t="shared" si="0"/>
        <v>1199</v>
      </c>
      <c r="I21" s="134">
        <f t="shared" si="0"/>
        <v>1811</v>
      </c>
      <c r="J21" s="134">
        <f t="shared" si="0"/>
        <v>3556</v>
      </c>
      <c r="K21" s="134">
        <f t="shared" si="0"/>
        <v>3994</v>
      </c>
      <c r="L21" s="134">
        <f t="shared" si="0"/>
        <v>271</v>
      </c>
      <c r="M21" s="134">
        <f t="shared" si="0"/>
        <v>421</v>
      </c>
      <c r="N21" s="134">
        <f t="shared" si="0"/>
        <v>84</v>
      </c>
      <c r="O21" s="134">
        <f t="shared" si="0"/>
        <v>89</v>
      </c>
      <c r="P21" s="134">
        <f t="shared" si="0"/>
        <v>0</v>
      </c>
      <c r="Q21" s="134">
        <f t="shared" si="0"/>
        <v>0</v>
      </c>
      <c r="R21" s="134">
        <f t="shared" si="0"/>
        <v>94</v>
      </c>
      <c r="S21" s="134">
        <f t="shared" si="0"/>
        <v>347</v>
      </c>
      <c r="T21" s="134">
        <f t="shared" si="0"/>
        <v>232</v>
      </c>
      <c r="U21" s="134">
        <f t="shared" si="0"/>
        <v>626</v>
      </c>
      <c r="V21" s="134">
        <f t="shared" si="0"/>
        <v>183</v>
      </c>
      <c r="W21" s="134">
        <f t="shared" si="0"/>
        <v>246</v>
      </c>
    </row>
  </sheetData>
  <mergeCells count="11">
    <mergeCell ref="V2:W2"/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"/>
  <sheetViews>
    <sheetView workbookViewId="0">
      <selection activeCell="X1" sqref="X1:X1048576"/>
    </sheetView>
  </sheetViews>
  <sheetFormatPr defaultRowHeight="15"/>
  <cols>
    <col min="2" max="2" width="25.7109375" customWidth="1"/>
    <col min="3" max="3" width="55.7109375" customWidth="1"/>
    <col min="4" max="12" width="5.85546875" customWidth="1"/>
    <col min="13" max="17" width="5.85546875" style="7" customWidth="1"/>
    <col min="18" max="23" width="5.85546875" customWidth="1"/>
  </cols>
  <sheetData>
    <row r="1" spans="1:23" ht="18.75">
      <c r="A1" s="411" t="s">
        <v>8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3"/>
    </row>
    <row r="2" spans="1:23" ht="136.5" customHeight="1">
      <c r="A2" s="1" t="s">
        <v>0</v>
      </c>
      <c r="B2" s="1" t="s">
        <v>4</v>
      </c>
      <c r="C2" s="1" t="s">
        <v>1</v>
      </c>
      <c r="D2" s="414" t="s">
        <v>5</v>
      </c>
      <c r="E2" s="415"/>
      <c r="F2" s="416" t="s">
        <v>2</v>
      </c>
      <c r="G2" s="417"/>
      <c r="H2" s="414" t="s">
        <v>10</v>
      </c>
      <c r="I2" s="415"/>
      <c r="J2" s="316" t="s">
        <v>11</v>
      </c>
      <c r="K2" s="314"/>
      <c r="L2" s="316" t="s">
        <v>9</v>
      </c>
      <c r="M2" s="317"/>
      <c r="N2" s="418" t="s">
        <v>14</v>
      </c>
      <c r="O2" s="419"/>
      <c r="P2" s="418" t="s">
        <v>15</v>
      </c>
      <c r="Q2" s="419"/>
      <c r="R2" s="414" t="s">
        <v>3</v>
      </c>
      <c r="S2" s="415"/>
      <c r="T2" s="414" t="s">
        <v>12</v>
      </c>
      <c r="U2" s="415"/>
      <c r="V2" s="414" t="s">
        <v>13</v>
      </c>
      <c r="W2" s="420"/>
    </row>
    <row r="3" spans="1:23">
      <c r="A3" s="129"/>
      <c r="B3" s="129"/>
      <c r="C3" s="129"/>
      <c r="D3" s="64" t="s">
        <v>6</v>
      </c>
      <c r="E3" s="64" t="s">
        <v>7</v>
      </c>
      <c r="F3" s="64" t="s">
        <v>6</v>
      </c>
      <c r="G3" s="64" t="s">
        <v>7</v>
      </c>
      <c r="H3" s="64" t="s">
        <v>6</v>
      </c>
      <c r="I3" s="64" t="s">
        <v>7</v>
      </c>
      <c r="J3" s="64" t="s">
        <v>6</v>
      </c>
      <c r="K3" s="64" t="s">
        <v>7</v>
      </c>
      <c r="L3" s="64" t="s">
        <v>6</v>
      </c>
      <c r="M3" s="64" t="s">
        <v>7</v>
      </c>
      <c r="N3" s="64" t="s">
        <v>6</v>
      </c>
      <c r="O3" s="64" t="s">
        <v>7</v>
      </c>
      <c r="P3" s="64" t="s">
        <v>6</v>
      </c>
      <c r="Q3" s="64" t="s">
        <v>7</v>
      </c>
      <c r="R3" s="64" t="s">
        <v>6</v>
      </c>
      <c r="S3" s="64" t="s">
        <v>7</v>
      </c>
      <c r="T3" s="64" t="s">
        <v>6</v>
      </c>
      <c r="U3" s="64" t="s">
        <v>7</v>
      </c>
      <c r="V3" s="64" t="s">
        <v>6</v>
      </c>
      <c r="W3" s="64" t="s">
        <v>7</v>
      </c>
    </row>
    <row r="4" spans="1:23">
      <c r="A4" s="405" t="s">
        <v>459</v>
      </c>
      <c r="B4" s="408" t="s">
        <v>460</v>
      </c>
      <c r="C4" s="39" t="s">
        <v>461</v>
      </c>
      <c r="D4" s="40">
        <v>195</v>
      </c>
      <c r="E4" s="40">
        <v>203</v>
      </c>
      <c r="F4" s="40">
        <v>763</v>
      </c>
      <c r="G4" s="40">
        <v>695</v>
      </c>
      <c r="H4" s="40">
        <v>173</v>
      </c>
      <c r="I4" s="40">
        <v>64</v>
      </c>
      <c r="J4" s="40">
        <v>841</v>
      </c>
      <c r="K4" s="40">
        <v>572</v>
      </c>
      <c r="L4" s="40">
        <v>26</v>
      </c>
      <c r="M4" s="41">
        <v>18</v>
      </c>
      <c r="N4" s="41">
        <v>2</v>
      </c>
      <c r="O4" s="41">
        <v>4</v>
      </c>
      <c r="P4" s="41">
        <v>0</v>
      </c>
      <c r="Q4" s="41">
        <v>0</v>
      </c>
      <c r="R4" s="40">
        <v>28</v>
      </c>
      <c r="S4" s="40">
        <v>42</v>
      </c>
      <c r="T4" s="40">
        <v>85</v>
      </c>
      <c r="U4" s="40">
        <v>56</v>
      </c>
      <c r="V4" s="40">
        <v>31</v>
      </c>
      <c r="W4" s="40">
        <v>24</v>
      </c>
    </row>
    <row r="5" spans="1:23">
      <c r="A5" s="406"/>
      <c r="B5" s="409"/>
      <c r="C5" s="39" t="s">
        <v>462</v>
      </c>
      <c r="D5" s="40">
        <v>39</v>
      </c>
      <c r="E5" s="40">
        <v>106</v>
      </c>
      <c r="F5" s="40">
        <v>194</v>
      </c>
      <c r="G5" s="40">
        <v>457</v>
      </c>
      <c r="H5" s="40">
        <v>37</v>
      </c>
      <c r="I5" s="40">
        <v>84</v>
      </c>
      <c r="J5" s="40">
        <v>127</v>
      </c>
      <c r="K5" s="40">
        <v>287</v>
      </c>
      <c r="L5" s="40">
        <v>11</v>
      </c>
      <c r="M5" s="41">
        <v>23</v>
      </c>
      <c r="N5" s="41">
        <v>0</v>
      </c>
      <c r="O5" s="41">
        <v>3</v>
      </c>
      <c r="P5" s="41">
        <v>0</v>
      </c>
      <c r="Q5" s="41">
        <v>2</v>
      </c>
      <c r="R5" s="40">
        <v>12</v>
      </c>
      <c r="S5" s="40">
        <v>34</v>
      </c>
      <c r="T5" s="40">
        <v>20</v>
      </c>
      <c r="U5" s="40">
        <v>71</v>
      </c>
      <c r="V5" s="40">
        <v>9</v>
      </c>
      <c r="W5" s="40">
        <v>14</v>
      </c>
    </row>
    <row r="6" spans="1:23">
      <c r="A6" s="406"/>
      <c r="B6" s="408" t="s">
        <v>463</v>
      </c>
      <c r="C6" s="39" t="s">
        <v>464</v>
      </c>
      <c r="D6" s="40">
        <v>135</v>
      </c>
      <c r="E6" s="40">
        <v>156</v>
      </c>
      <c r="F6" s="40">
        <v>629</v>
      </c>
      <c r="G6" s="40">
        <v>645</v>
      </c>
      <c r="H6" s="40">
        <v>156</v>
      </c>
      <c r="I6" s="40">
        <v>75</v>
      </c>
      <c r="J6" s="40">
        <v>413</v>
      </c>
      <c r="K6" s="40">
        <v>225</v>
      </c>
      <c r="L6" s="40">
        <v>18</v>
      </c>
      <c r="M6" s="41">
        <v>21</v>
      </c>
      <c r="N6" s="41">
        <v>11</v>
      </c>
      <c r="O6" s="41">
        <v>3</v>
      </c>
      <c r="P6" s="41">
        <v>2</v>
      </c>
      <c r="Q6" s="41">
        <v>1</v>
      </c>
      <c r="R6" s="40">
        <v>50</v>
      </c>
      <c r="S6" s="40">
        <v>45</v>
      </c>
      <c r="T6" s="40">
        <v>74</v>
      </c>
      <c r="U6" s="40">
        <v>77</v>
      </c>
      <c r="V6" s="40">
        <v>24</v>
      </c>
      <c r="W6" s="40">
        <v>9</v>
      </c>
    </row>
    <row r="7" spans="1:23">
      <c r="A7" s="406"/>
      <c r="B7" s="409"/>
      <c r="C7" s="39" t="s">
        <v>465</v>
      </c>
      <c r="D7" s="40">
        <v>187</v>
      </c>
      <c r="E7" s="40">
        <v>138</v>
      </c>
      <c r="F7" s="40">
        <v>696</v>
      </c>
      <c r="G7" s="40">
        <v>530</v>
      </c>
      <c r="H7" s="40">
        <v>73</v>
      </c>
      <c r="I7" s="40">
        <v>29</v>
      </c>
      <c r="J7" s="40">
        <v>101</v>
      </c>
      <c r="K7" s="40">
        <v>66</v>
      </c>
      <c r="L7" s="40">
        <v>29</v>
      </c>
      <c r="M7" s="41">
        <v>13</v>
      </c>
      <c r="N7" s="41">
        <v>9</v>
      </c>
      <c r="O7" s="41">
        <v>3</v>
      </c>
      <c r="P7" s="41">
        <v>0</v>
      </c>
      <c r="Q7" s="41">
        <v>0</v>
      </c>
      <c r="R7" s="40">
        <v>76</v>
      </c>
      <c r="S7" s="40">
        <v>69</v>
      </c>
      <c r="T7" s="40">
        <v>70</v>
      </c>
      <c r="U7" s="40">
        <v>42</v>
      </c>
      <c r="V7" s="40">
        <v>7</v>
      </c>
      <c r="W7" s="40">
        <v>3</v>
      </c>
    </row>
    <row r="8" spans="1:23">
      <c r="A8" s="406"/>
      <c r="B8" s="408" t="s">
        <v>466</v>
      </c>
      <c r="C8" s="39" t="s">
        <v>467</v>
      </c>
      <c r="D8" s="40">
        <v>53</v>
      </c>
      <c r="E8" s="40">
        <v>126</v>
      </c>
      <c r="F8" s="40">
        <v>209</v>
      </c>
      <c r="G8" s="40">
        <v>442</v>
      </c>
      <c r="H8" s="40">
        <v>73</v>
      </c>
      <c r="I8" s="40">
        <v>61</v>
      </c>
      <c r="J8" s="40">
        <v>154</v>
      </c>
      <c r="K8" s="40">
        <v>146</v>
      </c>
      <c r="L8" s="40">
        <v>7</v>
      </c>
      <c r="M8" s="41">
        <v>11</v>
      </c>
      <c r="N8" s="41">
        <v>0</v>
      </c>
      <c r="O8" s="41">
        <v>0</v>
      </c>
      <c r="P8" s="41">
        <v>0</v>
      </c>
      <c r="Q8" s="41">
        <v>0</v>
      </c>
      <c r="R8" s="40">
        <v>18</v>
      </c>
      <c r="S8" s="40">
        <v>38</v>
      </c>
      <c r="T8" s="40">
        <v>40</v>
      </c>
      <c r="U8" s="40">
        <v>41</v>
      </c>
      <c r="V8" s="40">
        <v>26</v>
      </c>
      <c r="W8" s="40">
        <v>27</v>
      </c>
    </row>
    <row r="9" spans="1:23">
      <c r="A9" s="406"/>
      <c r="B9" s="410"/>
      <c r="C9" s="39" t="s">
        <v>468</v>
      </c>
      <c r="D9" s="40">
        <v>18</v>
      </c>
      <c r="E9" s="40">
        <v>170</v>
      </c>
      <c r="F9" s="40">
        <v>84</v>
      </c>
      <c r="G9" s="40">
        <v>598</v>
      </c>
      <c r="H9" s="40">
        <v>12</v>
      </c>
      <c r="I9" s="40">
        <v>32</v>
      </c>
      <c r="J9" s="40">
        <v>22</v>
      </c>
      <c r="K9" s="40">
        <v>56</v>
      </c>
      <c r="L9" s="40">
        <v>2</v>
      </c>
      <c r="M9" s="41">
        <v>9</v>
      </c>
      <c r="N9" s="41">
        <v>1</v>
      </c>
      <c r="O9" s="41">
        <v>1</v>
      </c>
      <c r="P9" s="41">
        <v>0</v>
      </c>
      <c r="Q9" s="41">
        <v>0</v>
      </c>
      <c r="R9" s="40">
        <v>17</v>
      </c>
      <c r="S9" s="40">
        <v>198</v>
      </c>
      <c r="T9" s="40">
        <v>9</v>
      </c>
      <c r="U9" s="40">
        <v>38</v>
      </c>
      <c r="V9" s="40">
        <v>0</v>
      </c>
      <c r="W9" s="40">
        <v>6</v>
      </c>
    </row>
    <row r="10" spans="1:23">
      <c r="A10" s="406"/>
      <c r="B10" s="409"/>
      <c r="C10" s="39" t="s">
        <v>469</v>
      </c>
      <c r="D10" s="40">
        <v>48</v>
      </c>
      <c r="E10" s="40">
        <v>53</v>
      </c>
      <c r="F10" s="40">
        <v>213</v>
      </c>
      <c r="G10" s="40">
        <v>190</v>
      </c>
      <c r="H10" s="40">
        <v>66</v>
      </c>
      <c r="I10" s="40">
        <v>34</v>
      </c>
      <c r="J10" s="40">
        <v>86</v>
      </c>
      <c r="K10" s="40">
        <v>61</v>
      </c>
      <c r="L10" s="40">
        <v>3</v>
      </c>
      <c r="M10" s="41">
        <v>1</v>
      </c>
      <c r="N10" s="41">
        <v>12</v>
      </c>
      <c r="O10" s="41">
        <v>6</v>
      </c>
      <c r="P10" s="41">
        <v>0</v>
      </c>
      <c r="Q10" s="41">
        <v>0</v>
      </c>
      <c r="R10" s="40">
        <v>10</v>
      </c>
      <c r="S10" s="40">
        <v>13</v>
      </c>
      <c r="T10" s="40">
        <v>19</v>
      </c>
      <c r="U10" s="40">
        <v>22</v>
      </c>
      <c r="V10" s="40">
        <v>7</v>
      </c>
      <c r="W10" s="40">
        <v>7</v>
      </c>
    </row>
    <row r="11" spans="1:23">
      <c r="A11" s="406"/>
      <c r="B11" s="408" t="s">
        <v>470</v>
      </c>
      <c r="C11" s="39" t="s">
        <v>471</v>
      </c>
      <c r="D11" s="40">
        <v>0</v>
      </c>
      <c r="E11" s="40">
        <v>0</v>
      </c>
      <c r="F11" s="40">
        <v>11</v>
      </c>
      <c r="G11" s="40">
        <v>0</v>
      </c>
      <c r="H11" s="40">
        <v>218</v>
      </c>
      <c r="I11" s="40">
        <v>54</v>
      </c>
      <c r="J11" s="40">
        <v>466</v>
      </c>
      <c r="K11" s="40">
        <v>110</v>
      </c>
      <c r="L11" s="40">
        <v>8</v>
      </c>
      <c r="M11" s="41">
        <v>2</v>
      </c>
      <c r="N11" s="41">
        <v>6</v>
      </c>
      <c r="O11" s="41">
        <v>3</v>
      </c>
      <c r="P11" s="41">
        <v>4</v>
      </c>
      <c r="Q11" s="41">
        <v>2</v>
      </c>
      <c r="R11" s="40">
        <v>0</v>
      </c>
      <c r="S11" s="40">
        <v>0</v>
      </c>
      <c r="T11" s="40">
        <v>68</v>
      </c>
      <c r="U11" s="40">
        <v>42</v>
      </c>
      <c r="V11" s="40">
        <v>40</v>
      </c>
      <c r="W11" s="40">
        <v>12</v>
      </c>
    </row>
    <row r="12" spans="1:23">
      <c r="A12" s="406"/>
      <c r="B12" s="410"/>
      <c r="C12" s="39" t="s">
        <v>472</v>
      </c>
      <c r="D12" s="40">
        <v>141</v>
      </c>
      <c r="E12" s="40">
        <v>59</v>
      </c>
      <c r="F12" s="40">
        <v>536</v>
      </c>
      <c r="G12" s="40">
        <v>187</v>
      </c>
      <c r="H12" s="40">
        <v>0</v>
      </c>
      <c r="I12" s="40">
        <v>0</v>
      </c>
      <c r="J12" s="40">
        <v>0</v>
      </c>
      <c r="K12" s="40">
        <v>0</v>
      </c>
      <c r="L12" s="40">
        <v>18</v>
      </c>
      <c r="M12" s="41">
        <v>7</v>
      </c>
      <c r="N12" s="41">
        <v>8</v>
      </c>
      <c r="O12" s="41">
        <v>3</v>
      </c>
      <c r="P12" s="41">
        <v>0</v>
      </c>
      <c r="Q12" s="41">
        <v>0</v>
      </c>
      <c r="R12" s="40">
        <v>11</v>
      </c>
      <c r="S12" s="40">
        <v>5</v>
      </c>
      <c r="T12" s="40">
        <v>0</v>
      </c>
      <c r="U12" s="40">
        <v>0</v>
      </c>
      <c r="V12" s="40">
        <v>0</v>
      </c>
      <c r="W12" s="40">
        <v>0</v>
      </c>
    </row>
    <row r="13" spans="1:23">
      <c r="A13" s="407"/>
      <c r="B13" s="409"/>
      <c r="C13" s="39" t="s">
        <v>473</v>
      </c>
      <c r="D13" s="40">
        <v>129</v>
      </c>
      <c r="E13" s="40">
        <v>59</v>
      </c>
      <c r="F13" s="40">
        <v>474</v>
      </c>
      <c r="G13" s="40">
        <v>210</v>
      </c>
      <c r="H13" s="40">
        <v>0</v>
      </c>
      <c r="I13" s="40">
        <v>0</v>
      </c>
      <c r="J13" s="40">
        <v>0</v>
      </c>
      <c r="K13" s="40">
        <v>0</v>
      </c>
      <c r="L13" s="40">
        <v>11</v>
      </c>
      <c r="M13" s="41">
        <v>8</v>
      </c>
      <c r="N13" s="41">
        <v>7</v>
      </c>
      <c r="O13" s="41">
        <v>2</v>
      </c>
      <c r="P13" s="41">
        <v>2</v>
      </c>
      <c r="Q13" s="41">
        <v>2</v>
      </c>
      <c r="R13" s="40">
        <v>20</v>
      </c>
      <c r="S13" s="40">
        <v>16</v>
      </c>
      <c r="T13" s="40">
        <v>0</v>
      </c>
      <c r="U13" s="40">
        <v>0</v>
      </c>
      <c r="V13" s="40">
        <v>0</v>
      </c>
      <c r="W13" s="40">
        <v>0</v>
      </c>
    </row>
    <row r="14" spans="1:23">
      <c r="A14" s="42" t="s">
        <v>474</v>
      </c>
      <c r="B14" s="42"/>
      <c r="C14" s="43"/>
      <c r="D14" s="44">
        <f>SUM(D4:D13)</f>
        <v>945</v>
      </c>
      <c r="E14" s="44">
        <f t="shared" ref="E14:W14" si="0">SUM(E4:E13)</f>
        <v>1070</v>
      </c>
      <c r="F14" s="44">
        <f t="shared" si="0"/>
        <v>3809</v>
      </c>
      <c r="G14" s="44">
        <f t="shared" si="0"/>
        <v>3954</v>
      </c>
      <c r="H14" s="44">
        <f t="shared" si="0"/>
        <v>808</v>
      </c>
      <c r="I14" s="44">
        <f t="shared" si="0"/>
        <v>433</v>
      </c>
      <c r="J14" s="44">
        <f t="shared" si="0"/>
        <v>2210</v>
      </c>
      <c r="K14" s="44">
        <f t="shared" si="0"/>
        <v>1523</v>
      </c>
      <c r="L14" s="44">
        <f t="shared" si="0"/>
        <v>133</v>
      </c>
      <c r="M14" s="44">
        <f t="shared" si="0"/>
        <v>113</v>
      </c>
      <c r="N14" s="44">
        <f t="shared" si="0"/>
        <v>56</v>
      </c>
      <c r="O14" s="44">
        <f t="shared" si="0"/>
        <v>28</v>
      </c>
      <c r="P14" s="44">
        <f t="shared" si="0"/>
        <v>8</v>
      </c>
      <c r="Q14" s="44">
        <f t="shared" si="0"/>
        <v>7</v>
      </c>
      <c r="R14" s="44">
        <f t="shared" si="0"/>
        <v>242</v>
      </c>
      <c r="S14" s="44">
        <f t="shared" si="0"/>
        <v>460</v>
      </c>
      <c r="T14" s="44">
        <f t="shared" si="0"/>
        <v>385</v>
      </c>
      <c r="U14" s="44">
        <f t="shared" si="0"/>
        <v>389</v>
      </c>
      <c r="V14" s="44">
        <f t="shared" si="0"/>
        <v>144</v>
      </c>
      <c r="W14" s="44">
        <f t="shared" si="0"/>
        <v>102</v>
      </c>
    </row>
  </sheetData>
  <mergeCells count="16"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4:A13"/>
    <mergeCell ref="B4:B5"/>
    <mergeCell ref="B6:B7"/>
    <mergeCell ref="B8:B10"/>
    <mergeCell ref="B11:B13"/>
  </mergeCells>
  <pageMargins left="0.7" right="0.7" top="0.75" bottom="0.75" header="0.3" footer="0.3"/>
  <pageSetup paperSize="9" scale="5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"/>
  <sheetViews>
    <sheetView topLeftCell="B1" zoomScale="90" zoomScaleNormal="90" workbookViewId="0">
      <pane xSplit="2" ySplit="2" topLeftCell="D14" activePane="bottomRight" state="frozen"/>
      <selection activeCell="B1" sqref="B1"/>
      <selection pane="topRight" activeCell="D1" sqref="D1"/>
      <selection pane="bottomLeft" activeCell="B3" sqref="B3"/>
      <selection pane="bottomRight" activeCell="X1" sqref="X1:X1048576"/>
    </sheetView>
  </sheetViews>
  <sheetFormatPr defaultColWidth="9.140625" defaultRowHeight="15"/>
  <cols>
    <col min="1" max="1" width="8" style="113" customWidth="1"/>
    <col min="2" max="2" width="16" style="113" customWidth="1"/>
    <col min="3" max="3" width="70.140625" style="121" customWidth="1"/>
    <col min="4" max="4" width="6.28515625" style="113" bestFit="1" customWidth="1"/>
    <col min="5" max="5" width="5.85546875" style="113" customWidth="1"/>
    <col min="6" max="7" width="6.7109375" style="113" bestFit="1" customWidth="1"/>
    <col min="8" max="8" width="6.28515625" style="113" bestFit="1" customWidth="1"/>
    <col min="9" max="9" width="5.85546875" style="113" customWidth="1"/>
    <col min="10" max="10" width="6.7109375" style="113" bestFit="1" customWidth="1"/>
    <col min="11" max="11" width="5.85546875" style="113" customWidth="1"/>
    <col min="12" max="12" width="6.28515625" style="113" bestFit="1" customWidth="1"/>
    <col min="13" max="13" width="5.85546875" style="113" customWidth="1"/>
    <col min="14" max="14" width="6.28515625" style="113" bestFit="1" customWidth="1"/>
    <col min="15" max="15" width="5.85546875" style="113" customWidth="1"/>
    <col min="16" max="16" width="6.28515625" style="113" bestFit="1" customWidth="1"/>
    <col min="17" max="17" width="5.85546875" style="113" customWidth="1"/>
    <col min="18" max="18" width="6.28515625" style="113" bestFit="1" customWidth="1"/>
    <col min="19" max="19" width="5.85546875" style="113" customWidth="1"/>
    <col min="20" max="20" width="6.28515625" style="113" bestFit="1" customWidth="1"/>
    <col min="21" max="21" width="5.85546875" style="113" customWidth="1"/>
    <col min="22" max="22" width="6.28515625" style="113" bestFit="1" customWidth="1"/>
    <col min="23" max="23" width="5.85546875" style="113" customWidth="1"/>
    <col min="24" max="16384" width="9.140625" style="114"/>
  </cols>
  <sheetData>
    <row r="1" spans="1:23" ht="19.5" thickBot="1">
      <c r="A1" s="421" t="s">
        <v>8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  <c r="T1" s="422"/>
      <c r="U1" s="422"/>
      <c r="V1" s="422"/>
      <c r="W1" s="423"/>
    </row>
    <row r="2" spans="1:23" s="113" customFormat="1" ht="87.75" customHeight="1" thickBot="1">
      <c r="A2" s="86" t="s">
        <v>0</v>
      </c>
      <c r="B2" s="87" t="s">
        <v>4</v>
      </c>
      <c r="C2" s="88" t="s">
        <v>1</v>
      </c>
      <c r="D2" s="424" t="s">
        <v>5</v>
      </c>
      <c r="E2" s="425"/>
      <c r="F2" s="426" t="s">
        <v>2</v>
      </c>
      <c r="G2" s="425"/>
      <c r="H2" s="424" t="s">
        <v>10</v>
      </c>
      <c r="I2" s="425"/>
      <c r="J2" s="426" t="s">
        <v>475</v>
      </c>
      <c r="K2" s="425"/>
      <c r="L2" s="426" t="s">
        <v>9</v>
      </c>
      <c r="M2" s="427"/>
      <c r="N2" s="428" t="s">
        <v>14</v>
      </c>
      <c r="O2" s="427"/>
      <c r="P2" s="426" t="s">
        <v>15</v>
      </c>
      <c r="Q2" s="427"/>
      <c r="R2" s="424" t="s">
        <v>3</v>
      </c>
      <c r="S2" s="425"/>
      <c r="T2" s="424" t="s">
        <v>12</v>
      </c>
      <c r="U2" s="425"/>
      <c r="V2" s="429" t="s">
        <v>476</v>
      </c>
      <c r="W2" s="425"/>
    </row>
    <row r="3" spans="1:23" s="122" customFormat="1" ht="30.75" thickBot="1">
      <c r="A3" s="123"/>
      <c r="B3" s="124"/>
      <c r="C3" s="125"/>
      <c r="D3" s="126" t="s">
        <v>6</v>
      </c>
      <c r="E3" s="127" t="s">
        <v>7</v>
      </c>
      <c r="F3" s="126" t="s">
        <v>6</v>
      </c>
      <c r="G3" s="127" t="s">
        <v>7</v>
      </c>
      <c r="H3" s="126" t="s">
        <v>6</v>
      </c>
      <c r="I3" s="127" t="s">
        <v>7</v>
      </c>
      <c r="J3" s="126" t="s">
        <v>6</v>
      </c>
      <c r="K3" s="127" t="s">
        <v>7</v>
      </c>
      <c r="L3" s="126" t="s">
        <v>6</v>
      </c>
      <c r="M3" s="127" t="s">
        <v>7</v>
      </c>
      <c r="N3" s="128" t="s">
        <v>6</v>
      </c>
      <c r="O3" s="127" t="s">
        <v>7</v>
      </c>
      <c r="P3" s="126" t="s">
        <v>6</v>
      </c>
      <c r="Q3" s="127" t="s">
        <v>7</v>
      </c>
      <c r="R3" s="126" t="s">
        <v>6</v>
      </c>
      <c r="S3" s="127" t="s">
        <v>7</v>
      </c>
      <c r="T3" s="126" t="s">
        <v>6</v>
      </c>
      <c r="U3" s="127" t="s">
        <v>7</v>
      </c>
      <c r="V3" s="128" t="s">
        <v>6</v>
      </c>
      <c r="W3" s="127" t="s">
        <v>7</v>
      </c>
    </row>
    <row r="4" spans="1:23" ht="15" customHeight="1">
      <c r="A4" s="430" t="s">
        <v>477</v>
      </c>
      <c r="B4" s="431" t="s">
        <v>478</v>
      </c>
      <c r="C4" s="89" t="s">
        <v>479</v>
      </c>
      <c r="D4" s="90">
        <v>56</v>
      </c>
      <c r="E4" s="91">
        <v>109</v>
      </c>
      <c r="F4" s="92">
        <v>134</v>
      </c>
      <c r="G4" s="93">
        <v>298</v>
      </c>
      <c r="H4" s="90">
        <f>16+9</f>
        <v>25</v>
      </c>
      <c r="I4" s="93">
        <f>29+20</f>
        <v>49</v>
      </c>
      <c r="J4" s="90">
        <f>7+309</f>
        <v>316</v>
      </c>
      <c r="K4" s="93">
        <f>17+289</f>
        <v>306</v>
      </c>
      <c r="L4" s="90">
        <v>18</v>
      </c>
      <c r="M4" s="91">
        <v>42</v>
      </c>
      <c r="N4" s="94">
        <v>5</v>
      </c>
      <c r="O4" s="95">
        <v>11</v>
      </c>
      <c r="P4" s="96">
        <v>0</v>
      </c>
      <c r="Q4" s="95">
        <v>1</v>
      </c>
      <c r="R4" s="92">
        <v>3</v>
      </c>
      <c r="S4" s="93">
        <v>0</v>
      </c>
      <c r="T4" s="90">
        <f>14+1</f>
        <v>15</v>
      </c>
      <c r="U4" s="93">
        <f>29+3</f>
        <v>32</v>
      </c>
      <c r="V4" s="90">
        <f>0+4</f>
        <v>4</v>
      </c>
      <c r="W4" s="91">
        <f>1+3</f>
        <v>4</v>
      </c>
    </row>
    <row r="5" spans="1:23" ht="15" customHeight="1">
      <c r="A5" s="430"/>
      <c r="B5" s="432"/>
      <c r="C5" s="97" t="s">
        <v>480</v>
      </c>
      <c r="D5" s="98">
        <v>6</v>
      </c>
      <c r="E5" s="99">
        <v>10</v>
      </c>
      <c r="F5" s="100">
        <v>118</v>
      </c>
      <c r="G5" s="101">
        <v>152</v>
      </c>
      <c r="H5" s="98">
        <f>24+27</f>
        <v>51</v>
      </c>
      <c r="I5" s="101">
        <f>22+24</f>
        <v>46</v>
      </c>
      <c r="J5" s="98">
        <f>25+256</f>
        <v>281</v>
      </c>
      <c r="K5" s="101">
        <f>19+184</f>
        <v>203</v>
      </c>
      <c r="L5" s="98">
        <v>5</v>
      </c>
      <c r="M5" s="99">
        <v>6</v>
      </c>
      <c r="N5" s="102">
        <v>2</v>
      </c>
      <c r="O5" s="103">
        <v>0</v>
      </c>
      <c r="P5" s="104">
        <v>0</v>
      </c>
      <c r="Q5" s="103">
        <v>0</v>
      </c>
      <c r="R5" s="100">
        <v>0</v>
      </c>
      <c r="S5" s="101">
        <v>0</v>
      </c>
      <c r="T5" s="98">
        <f>22+5</f>
        <v>27</v>
      </c>
      <c r="U5" s="101">
        <f>26+7</f>
        <v>33</v>
      </c>
      <c r="V5" s="98">
        <f>4+11</f>
        <v>15</v>
      </c>
      <c r="W5" s="99">
        <f>7+11</f>
        <v>18</v>
      </c>
    </row>
    <row r="6" spans="1:23" ht="15" customHeight="1">
      <c r="A6" s="430"/>
      <c r="B6" s="432"/>
      <c r="C6" s="97" t="s">
        <v>481</v>
      </c>
      <c r="D6" s="98">
        <v>32</v>
      </c>
      <c r="E6" s="99">
        <v>28</v>
      </c>
      <c r="F6" s="100">
        <v>205</v>
      </c>
      <c r="G6" s="101">
        <v>155</v>
      </c>
      <c r="H6" s="98">
        <f>51+29</f>
        <v>80</v>
      </c>
      <c r="I6" s="101">
        <f>48+22</f>
        <v>70</v>
      </c>
      <c r="J6" s="98">
        <f>44+404</f>
        <v>448</v>
      </c>
      <c r="K6" s="101">
        <f>23+208</f>
        <v>231</v>
      </c>
      <c r="L6" s="98">
        <v>17</v>
      </c>
      <c r="M6" s="99">
        <v>7</v>
      </c>
      <c r="N6" s="102">
        <v>10</v>
      </c>
      <c r="O6" s="103">
        <v>0</v>
      </c>
      <c r="P6" s="104">
        <v>1</v>
      </c>
      <c r="Q6" s="103">
        <v>1</v>
      </c>
      <c r="R6" s="100">
        <v>0</v>
      </c>
      <c r="S6" s="101">
        <v>0</v>
      </c>
      <c r="T6" s="98">
        <f>4+12</f>
        <v>16</v>
      </c>
      <c r="U6" s="101">
        <f>19+14</f>
        <v>33</v>
      </c>
      <c r="V6" s="98">
        <f>6+11</f>
        <v>17</v>
      </c>
      <c r="W6" s="99">
        <f>5+6</f>
        <v>11</v>
      </c>
    </row>
    <row r="7" spans="1:23" ht="15" customHeight="1">
      <c r="A7" s="430"/>
      <c r="B7" s="432"/>
      <c r="C7" s="97" t="s">
        <v>367</v>
      </c>
      <c r="D7" s="98">
        <v>140</v>
      </c>
      <c r="E7" s="99">
        <v>126</v>
      </c>
      <c r="F7" s="100">
        <v>458</v>
      </c>
      <c r="G7" s="101">
        <v>516</v>
      </c>
      <c r="H7" s="98">
        <f>114+92</f>
        <v>206</v>
      </c>
      <c r="I7" s="101">
        <f>103+79</f>
        <v>182</v>
      </c>
      <c r="J7" s="98">
        <f>84+1522</f>
        <v>1606</v>
      </c>
      <c r="K7" s="101">
        <f>61+591</f>
        <v>652</v>
      </c>
      <c r="L7" s="98">
        <v>46</v>
      </c>
      <c r="M7" s="99">
        <v>49</v>
      </c>
      <c r="N7" s="102">
        <v>4</v>
      </c>
      <c r="O7" s="103">
        <v>5</v>
      </c>
      <c r="P7" s="104">
        <v>3</v>
      </c>
      <c r="Q7" s="103">
        <v>2</v>
      </c>
      <c r="R7" s="100">
        <v>3</v>
      </c>
      <c r="S7" s="101">
        <v>4</v>
      </c>
      <c r="T7" s="98">
        <f>12+19</f>
        <v>31</v>
      </c>
      <c r="U7" s="101">
        <f>17+28</f>
        <v>45</v>
      </c>
      <c r="V7" s="98">
        <f>13+30</f>
        <v>43</v>
      </c>
      <c r="W7" s="99">
        <f>24+39</f>
        <v>63</v>
      </c>
    </row>
    <row r="8" spans="1:23" ht="15" customHeight="1">
      <c r="A8" s="430"/>
      <c r="B8" s="432"/>
      <c r="C8" s="97" t="s">
        <v>482</v>
      </c>
      <c r="D8" s="98">
        <v>84</v>
      </c>
      <c r="E8" s="99">
        <v>63</v>
      </c>
      <c r="F8" s="100">
        <v>347</v>
      </c>
      <c r="G8" s="101">
        <v>253</v>
      </c>
      <c r="H8" s="98">
        <f>60+53</f>
        <v>113</v>
      </c>
      <c r="I8" s="101">
        <f>38+33</f>
        <v>71</v>
      </c>
      <c r="J8" s="98">
        <f>45+396</f>
        <v>441</v>
      </c>
      <c r="K8" s="101">
        <f>32+223</f>
        <v>255</v>
      </c>
      <c r="L8" s="98">
        <v>33</v>
      </c>
      <c r="M8" s="99">
        <v>23</v>
      </c>
      <c r="N8" s="102">
        <v>6</v>
      </c>
      <c r="O8" s="103">
        <v>3</v>
      </c>
      <c r="P8" s="104">
        <v>1</v>
      </c>
      <c r="Q8" s="103">
        <v>1</v>
      </c>
      <c r="R8" s="100">
        <v>1</v>
      </c>
      <c r="S8" s="101">
        <v>1</v>
      </c>
      <c r="T8" s="98">
        <f>9+12</f>
        <v>21</v>
      </c>
      <c r="U8" s="101">
        <f>10+7</f>
        <v>17</v>
      </c>
      <c r="V8" s="98">
        <f>10+20</f>
        <v>30</v>
      </c>
      <c r="W8" s="99">
        <f>10+11</f>
        <v>21</v>
      </c>
    </row>
    <row r="9" spans="1:23" ht="15" customHeight="1">
      <c r="A9" s="430"/>
      <c r="B9" s="432"/>
      <c r="C9" s="97" t="s">
        <v>483</v>
      </c>
      <c r="D9" s="98">
        <v>73</v>
      </c>
      <c r="E9" s="99">
        <v>137</v>
      </c>
      <c r="F9" s="100">
        <v>217</v>
      </c>
      <c r="G9" s="101">
        <v>434</v>
      </c>
      <c r="H9" s="98">
        <f>13+14</f>
        <v>27</v>
      </c>
      <c r="I9" s="101">
        <f>45+23</f>
        <v>68</v>
      </c>
      <c r="J9" s="98">
        <f>15+149</f>
        <v>164</v>
      </c>
      <c r="K9" s="101">
        <f>19+189</f>
        <v>208</v>
      </c>
      <c r="L9" s="98">
        <v>13</v>
      </c>
      <c r="M9" s="99">
        <v>38</v>
      </c>
      <c r="N9" s="102">
        <v>1</v>
      </c>
      <c r="O9" s="103">
        <v>1</v>
      </c>
      <c r="P9" s="104">
        <v>0</v>
      </c>
      <c r="Q9" s="103">
        <v>1</v>
      </c>
      <c r="R9" s="100">
        <v>2</v>
      </c>
      <c r="S9" s="101">
        <v>5</v>
      </c>
      <c r="T9" s="98">
        <f>17+7</f>
        <v>24</v>
      </c>
      <c r="U9" s="101">
        <f>66+16</f>
        <v>82</v>
      </c>
      <c r="V9" s="98">
        <f>9+9</f>
        <v>18</v>
      </c>
      <c r="W9" s="99">
        <f>14+12</f>
        <v>26</v>
      </c>
    </row>
    <row r="10" spans="1:23" ht="15" customHeight="1">
      <c r="A10" s="430"/>
      <c r="B10" s="432" t="s">
        <v>484</v>
      </c>
      <c r="C10" s="97" t="s">
        <v>485</v>
      </c>
      <c r="D10" s="98">
        <v>19</v>
      </c>
      <c r="E10" s="99">
        <v>57</v>
      </c>
      <c r="F10" s="100">
        <v>128</v>
      </c>
      <c r="G10" s="101">
        <v>327</v>
      </c>
      <c r="H10" s="98">
        <f>31+17+8</f>
        <v>56</v>
      </c>
      <c r="I10" s="101">
        <f>71+32+29</f>
        <v>132</v>
      </c>
      <c r="J10" s="98">
        <v>56</v>
      </c>
      <c r="K10" s="101">
        <v>89</v>
      </c>
      <c r="L10" s="105">
        <v>0</v>
      </c>
      <c r="M10" s="106">
        <v>8</v>
      </c>
      <c r="N10" s="102">
        <v>1</v>
      </c>
      <c r="O10" s="103">
        <v>2</v>
      </c>
      <c r="P10" s="104">
        <v>0</v>
      </c>
      <c r="Q10" s="103">
        <v>0</v>
      </c>
      <c r="R10" s="100">
        <v>0</v>
      </c>
      <c r="S10" s="101">
        <v>1</v>
      </c>
      <c r="T10" s="98">
        <f>11+17+2</f>
        <v>30</v>
      </c>
      <c r="U10" s="101">
        <f>12+25+11</f>
        <v>48</v>
      </c>
      <c r="V10" s="98">
        <v>12</v>
      </c>
      <c r="W10" s="99">
        <v>22</v>
      </c>
    </row>
    <row r="11" spans="1:23" ht="15" customHeight="1">
      <c r="A11" s="430"/>
      <c r="B11" s="432"/>
      <c r="C11" s="97" t="s">
        <v>486</v>
      </c>
      <c r="D11" s="98">
        <v>297</v>
      </c>
      <c r="E11" s="99">
        <v>69</v>
      </c>
      <c r="F11" s="100">
        <v>1201</v>
      </c>
      <c r="G11" s="101">
        <v>269</v>
      </c>
      <c r="H11" s="98">
        <f>163+133+86</f>
        <v>382</v>
      </c>
      <c r="I11" s="101">
        <f>29+22+15</f>
        <v>66</v>
      </c>
      <c r="J11" s="98">
        <v>902</v>
      </c>
      <c r="K11" s="101">
        <v>94</v>
      </c>
      <c r="L11" s="105">
        <v>65</v>
      </c>
      <c r="M11" s="106">
        <v>26</v>
      </c>
      <c r="N11" s="102">
        <v>8</v>
      </c>
      <c r="O11" s="103">
        <v>0</v>
      </c>
      <c r="P11" s="104">
        <v>0</v>
      </c>
      <c r="Q11" s="103">
        <v>0</v>
      </c>
      <c r="R11" s="100">
        <v>7</v>
      </c>
      <c r="S11" s="101">
        <v>2</v>
      </c>
      <c r="T11" s="98">
        <f>50+29+34</f>
        <v>113</v>
      </c>
      <c r="U11" s="101">
        <f>20+9+3</f>
        <v>32</v>
      </c>
      <c r="V11" s="98">
        <v>36</v>
      </c>
      <c r="W11" s="99">
        <v>5</v>
      </c>
    </row>
    <row r="12" spans="1:23" ht="15" customHeight="1">
      <c r="A12" s="430"/>
      <c r="B12" s="432"/>
      <c r="C12" s="97" t="s">
        <v>487</v>
      </c>
      <c r="D12" s="98">
        <v>164</v>
      </c>
      <c r="E12" s="99">
        <v>43</v>
      </c>
      <c r="F12" s="100">
        <v>997</v>
      </c>
      <c r="G12" s="101">
        <v>251</v>
      </c>
      <c r="H12" s="98">
        <f>163+139+116</f>
        <v>418</v>
      </c>
      <c r="I12" s="101">
        <f>40+20+12</f>
        <v>72</v>
      </c>
      <c r="J12" s="98">
        <v>883</v>
      </c>
      <c r="K12" s="101">
        <v>160</v>
      </c>
      <c r="L12" s="105">
        <v>8</v>
      </c>
      <c r="M12" s="106">
        <v>1</v>
      </c>
      <c r="N12" s="102">
        <v>3</v>
      </c>
      <c r="O12" s="103">
        <v>1</v>
      </c>
      <c r="P12" s="104">
        <v>3</v>
      </c>
      <c r="Q12" s="103">
        <v>0</v>
      </c>
      <c r="R12" s="100">
        <v>9</v>
      </c>
      <c r="S12" s="101">
        <v>0</v>
      </c>
      <c r="T12" s="98">
        <f>27+36+29</f>
        <v>92</v>
      </c>
      <c r="U12" s="101">
        <f>11+10+7</f>
        <v>28</v>
      </c>
      <c r="V12" s="98">
        <v>60</v>
      </c>
      <c r="W12" s="99">
        <v>10</v>
      </c>
    </row>
    <row r="13" spans="1:23" ht="15" customHeight="1">
      <c r="A13" s="430"/>
      <c r="B13" s="432"/>
      <c r="C13" s="97" t="s">
        <v>488</v>
      </c>
      <c r="D13" s="98">
        <v>157</v>
      </c>
      <c r="E13" s="99">
        <v>53</v>
      </c>
      <c r="F13" s="100">
        <v>744</v>
      </c>
      <c r="G13" s="101">
        <v>173</v>
      </c>
      <c r="H13" s="98">
        <f>88+65+44</f>
        <v>197</v>
      </c>
      <c r="I13" s="101">
        <f>14+12+9</f>
        <v>35</v>
      </c>
      <c r="J13" s="98">
        <v>451</v>
      </c>
      <c r="K13" s="101">
        <v>54</v>
      </c>
      <c r="L13" s="105">
        <v>26</v>
      </c>
      <c r="M13" s="106">
        <v>10</v>
      </c>
      <c r="N13" s="102">
        <v>7</v>
      </c>
      <c r="O13" s="103">
        <v>1</v>
      </c>
      <c r="P13" s="104">
        <v>1</v>
      </c>
      <c r="Q13" s="103">
        <v>0</v>
      </c>
      <c r="R13" s="100">
        <v>2</v>
      </c>
      <c r="S13" s="101">
        <v>2</v>
      </c>
      <c r="T13" s="98">
        <f>52+25+15</f>
        <v>92</v>
      </c>
      <c r="U13" s="101">
        <f>14+9+3</f>
        <v>26</v>
      </c>
      <c r="V13" s="98">
        <v>14</v>
      </c>
      <c r="W13" s="99">
        <v>1</v>
      </c>
    </row>
    <row r="14" spans="1:23" ht="15" customHeight="1">
      <c r="A14" s="430"/>
      <c r="B14" s="432"/>
      <c r="C14" s="97" t="s">
        <v>489</v>
      </c>
      <c r="D14" s="98">
        <v>118</v>
      </c>
      <c r="E14" s="99">
        <v>74</v>
      </c>
      <c r="F14" s="100">
        <v>517</v>
      </c>
      <c r="G14" s="101">
        <v>298</v>
      </c>
      <c r="H14" s="98">
        <f>82+55+44</f>
        <v>181</v>
      </c>
      <c r="I14" s="101">
        <f>38+33+29</f>
        <v>100</v>
      </c>
      <c r="J14" s="98">
        <v>293</v>
      </c>
      <c r="K14" s="101">
        <v>123</v>
      </c>
      <c r="L14" s="105">
        <v>43</v>
      </c>
      <c r="M14" s="106">
        <v>27</v>
      </c>
      <c r="N14" s="102">
        <v>3</v>
      </c>
      <c r="O14" s="103">
        <v>1</v>
      </c>
      <c r="P14" s="104">
        <v>0</v>
      </c>
      <c r="Q14" s="103">
        <v>0</v>
      </c>
      <c r="R14" s="100">
        <v>5</v>
      </c>
      <c r="S14" s="101">
        <v>6</v>
      </c>
      <c r="T14" s="98">
        <f>15+17+20</f>
        <v>52</v>
      </c>
      <c r="U14" s="101">
        <f>16+7+3</f>
        <v>26</v>
      </c>
      <c r="V14" s="98">
        <v>17</v>
      </c>
      <c r="W14" s="99">
        <v>13</v>
      </c>
    </row>
    <row r="15" spans="1:23" ht="15" customHeight="1">
      <c r="A15" s="430"/>
      <c r="B15" s="432"/>
      <c r="C15" s="97" t="s">
        <v>353</v>
      </c>
      <c r="D15" s="98">
        <v>75</v>
      </c>
      <c r="E15" s="99">
        <v>93</v>
      </c>
      <c r="F15" s="100">
        <v>329</v>
      </c>
      <c r="G15" s="101">
        <v>348</v>
      </c>
      <c r="H15" s="98">
        <f>34+21+16</f>
        <v>71</v>
      </c>
      <c r="I15" s="101">
        <f>27+16+13</f>
        <v>56</v>
      </c>
      <c r="J15" s="98">
        <v>229</v>
      </c>
      <c r="K15" s="101">
        <v>106</v>
      </c>
      <c r="L15" s="105">
        <v>5</v>
      </c>
      <c r="M15" s="106">
        <v>18</v>
      </c>
      <c r="N15" s="102">
        <v>2</v>
      </c>
      <c r="O15" s="103">
        <v>1</v>
      </c>
      <c r="P15" s="104">
        <v>0</v>
      </c>
      <c r="Q15" s="103">
        <v>0</v>
      </c>
      <c r="R15" s="100">
        <v>6</v>
      </c>
      <c r="S15" s="101">
        <v>1</v>
      </c>
      <c r="T15" s="98">
        <f>12+15+3</f>
        <v>30</v>
      </c>
      <c r="U15" s="101">
        <f>27+8+3</f>
        <v>38</v>
      </c>
      <c r="V15" s="98">
        <v>4</v>
      </c>
      <c r="W15" s="99">
        <v>4</v>
      </c>
    </row>
    <row r="16" spans="1:23" ht="15" customHeight="1">
      <c r="A16" s="430"/>
      <c r="B16" s="432"/>
      <c r="C16" s="97" t="s">
        <v>490</v>
      </c>
      <c r="D16" s="98">
        <v>0</v>
      </c>
      <c r="E16" s="99">
        <v>0</v>
      </c>
      <c r="F16" s="100">
        <v>195</v>
      </c>
      <c r="G16" s="101">
        <v>112</v>
      </c>
      <c r="H16" s="98">
        <f>8+14+12</f>
        <v>34</v>
      </c>
      <c r="I16" s="101">
        <f>15+14+8</f>
        <v>37</v>
      </c>
      <c r="J16" s="98">
        <v>20</v>
      </c>
      <c r="K16" s="101">
        <v>9</v>
      </c>
      <c r="L16" s="105">
        <v>15</v>
      </c>
      <c r="M16" s="106">
        <v>5</v>
      </c>
      <c r="N16" s="102">
        <v>1</v>
      </c>
      <c r="O16" s="103">
        <v>0</v>
      </c>
      <c r="P16" s="104">
        <v>0</v>
      </c>
      <c r="Q16" s="103">
        <v>0</v>
      </c>
      <c r="R16" s="100">
        <v>0</v>
      </c>
      <c r="S16" s="101">
        <v>7</v>
      </c>
      <c r="T16" s="98">
        <f>5+6+2</f>
        <v>13</v>
      </c>
      <c r="U16" s="101">
        <f>19+13+2</f>
        <v>34</v>
      </c>
      <c r="V16" s="98">
        <v>3</v>
      </c>
      <c r="W16" s="99">
        <v>2</v>
      </c>
    </row>
    <row r="17" spans="1:23" ht="15" customHeight="1">
      <c r="A17" s="430"/>
      <c r="B17" s="432"/>
      <c r="C17" s="97" t="s">
        <v>491</v>
      </c>
      <c r="D17" s="98">
        <v>0</v>
      </c>
      <c r="E17" s="99">
        <v>0</v>
      </c>
      <c r="F17" s="100">
        <v>14</v>
      </c>
      <c r="G17" s="101">
        <v>38</v>
      </c>
      <c r="H17" s="98">
        <f>19+15+12</f>
        <v>46</v>
      </c>
      <c r="I17" s="101">
        <f>25+15+13</f>
        <v>53</v>
      </c>
      <c r="J17" s="98">
        <v>224</v>
      </c>
      <c r="K17" s="101">
        <v>152</v>
      </c>
      <c r="L17" s="105">
        <v>0</v>
      </c>
      <c r="M17" s="106">
        <v>0</v>
      </c>
      <c r="N17" s="102">
        <v>0</v>
      </c>
      <c r="O17" s="103">
        <v>0</v>
      </c>
      <c r="P17" s="104">
        <v>0</v>
      </c>
      <c r="Q17" s="103">
        <v>0</v>
      </c>
      <c r="R17" s="100">
        <v>0</v>
      </c>
      <c r="S17" s="101">
        <v>0</v>
      </c>
      <c r="T17" s="98">
        <v>0</v>
      </c>
      <c r="U17" s="101">
        <v>0</v>
      </c>
      <c r="V17" s="98">
        <v>1</v>
      </c>
      <c r="W17" s="99">
        <v>4</v>
      </c>
    </row>
    <row r="18" spans="1:23" ht="15" customHeight="1">
      <c r="A18" s="430"/>
      <c r="B18" s="432" t="s">
        <v>220</v>
      </c>
      <c r="C18" s="97" t="s">
        <v>492</v>
      </c>
      <c r="D18" s="98">
        <v>80</v>
      </c>
      <c r="E18" s="99">
        <v>129</v>
      </c>
      <c r="F18" s="100">
        <v>401</v>
      </c>
      <c r="G18" s="101">
        <v>693</v>
      </c>
      <c r="H18" s="98">
        <f>18+10+8</f>
        <v>36</v>
      </c>
      <c r="I18" s="101">
        <f>16+11+8</f>
        <v>35</v>
      </c>
      <c r="J18" s="98">
        <v>62</v>
      </c>
      <c r="K18" s="101">
        <v>45</v>
      </c>
      <c r="L18" s="98">
        <v>7</v>
      </c>
      <c r="M18" s="99">
        <v>10</v>
      </c>
      <c r="N18" s="102">
        <v>3</v>
      </c>
      <c r="O18" s="103">
        <v>4</v>
      </c>
      <c r="P18" s="104">
        <v>0</v>
      </c>
      <c r="Q18" s="103">
        <v>0</v>
      </c>
      <c r="R18" s="100">
        <v>52</v>
      </c>
      <c r="S18" s="101">
        <v>109</v>
      </c>
      <c r="T18" s="98">
        <f>10+3+2</f>
        <v>15</v>
      </c>
      <c r="U18" s="101">
        <f>16+4+0</f>
        <v>20</v>
      </c>
      <c r="V18" s="98">
        <v>6</v>
      </c>
      <c r="W18" s="99">
        <v>3</v>
      </c>
    </row>
    <row r="19" spans="1:23" ht="15" customHeight="1">
      <c r="A19" s="430"/>
      <c r="B19" s="432"/>
      <c r="C19" s="97" t="s">
        <v>493</v>
      </c>
      <c r="D19" s="98">
        <v>53</v>
      </c>
      <c r="E19" s="99">
        <v>127</v>
      </c>
      <c r="F19" s="100">
        <v>188</v>
      </c>
      <c r="G19" s="101">
        <v>365</v>
      </c>
      <c r="H19" s="98">
        <f>27+10+7</f>
        <v>44</v>
      </c>
      <c r="I19" s="101">
        <f>26+13+12</f>
        <v>51</v>
      </c>
      <c r="J19" s="98">
        <v>139</v>
      </c>
      <c r="K19" s="101">
        <v>133</v>
      </c>
      <c r="L19" s="98">
        <v>8</v>
      </c>
      <c r="M19" s="99">
        <v>31</v>
      </c>
      <c r="N19" s="102">
        <v>3</v>
      </c>
      <c r="O19" s="103">
        <v>3</v>
      </c>
      <c r="P19" s="104">
        <v>0</v>
      </c>
      <c r="Q19" s="103">
        <v>0</v>
      </c>
      <c r="R19" s="100">
        <v>6</v>
      </c>
      <c r="S19" s="101">
        <v>28</v>
      </c>
      <c r="T19" s="98">
        <f>15+3+1</f>
        <v>19</v>
      </c>
      <c r="U19" s="101">
        <f>37+13+3</f>
        <v>53</v>
      </c>
      <c r="V19" s="98">
        <v>7</v>
      </c>
      <c r="W19" s="99">
        <v>4</v>
      </c>
    </row>
    <row r="20" spans="1:23">
      <c r="A20" s="430"/>
      <c r="B20" s="432" t="s">
        <v>494</v>
      </c>
      <c r="C20" s="97" t="s">
        <v>495</v>
      </c>
      <c r="D20" s="98">
        <v>12</v>
      </c>
      <c r="E20" s="99">
        <v>209</v>
      </c>
      <c r="F20" s="100">
        <v>36</v>
      </c>
      <c r="G20" s="101">
        <v>704</v>
      </c>
      <c r="H20" s="98">
        <f>2+3</f>
        <v>5</v>
      </c>
      <c r="I20" s="101">
        <f>27+24</f>
        <v>51</v>
      </c>
      <c r="J20" s="98">
        <f>3+25</f>
        <v>28</v>
      </c>
      <c r="K20" s="101">
        <f>6+168</f>
        <v>174</v>
      </c>
      <c r="L20" s="98">
        <v>2</v>
      </c>
      <c r="M20" s="99">
        <v>34</v>
      </c>
      <c r="N20" s="107">
        <v>0</v>
      </c>
      <c r="O20" s="108">
        <v>6</v>
      </c>
      <c r="P20" s="109">
        <v>0</v>
      </c>
      <c r="Q20" s="108">
        <v>0</v>
      </c>
      <c r="R20" s="100">
        <v>2</v>
      </c>
      <c r="S20" s="101">
        <v>71</v>
      </c>
      <c r="T20" s="98">
        <f>4+1</f>
        <v>5</v>
      </c>
      <c r="U20" s="101">
        <f>82+20</f>
        <v>102</v>
      </c>
      <c r="V20" s="98">
        <f>0+0</f>
        <v>0</v>
      </c>
      <c r="W20" s="99">
        <f>7+5</f>
        <v>12</v>
      </c>
    </row>
    <row r="21" spans="1:23">
      <c r="A21" s="430"/>
      <c r="B21" s="432"/>
      <c r="C21" s="97" t="s">
        <v>496</v>
      </c>
      <c r="D21" s="98">
        <v>3</v>
      </c>
      <c r="E21" s="99">
        <v>31</v>
      </c>
      <c r="F21" s="100">
        <v>48</v>
      </c>
      <c r="G21" s="101">
        <v>248</v>
      </c>
      <c r="H21" s="98">
        <f>10+8</f>
        <v>18</v>
      </c>
      <c r="I21" s="101">
        <f>45+37</f>
        <v>82</v>
      </c>
      <c r="J21" s="98">
        <f>4+80</f>
        <v>84</v>
      </c>
      <c r="K21" s="101">
        <f>25+272</f>
        <v>297</v>
      </c>
      <c r="L21" s="98">
        <v>6</v>
      </c>
      <c r="M21" s="99">
        <v>13</v>
      </c>
      <c r="N21" s="107">
        <v>0</v>
      </c>
      <c r="O21" s="108">
        <v>7</v>
      </c>
      <c r="P21" s="109">
        <v>1</v>
      </c>
      <c r="Q21" s="108">
        <v>0</v>
      </c>
      <c r="R21" s="100">
        <v>1</v>
      </c>
      <c r="S21" s="101">
        <v>6</v>
      </c>
      <c r="T21" s="98">
        <f>3+1</f>
        <v>4</v>
      </c>
      <c r="U21" s="101">
        <f>24+11</f>
        <v>35</v>
      </c>
      <c r="V21" s="98">
        <f>0+2</f>
        <v>2</v>
      </c>
      <c r="W21" s="99">
        <f>2+7</f>
        <v>9</v>
      </c>
    </row>
    <row r="22" spans="1:23">
      <c r="A22" s="430"/>
      <c r="B22" s="432"/>
      <c r="C22" s="97" t="s">
        <v>497</v>
      </c>
      <c r="D22" s="98">
        <v>36</v>
      </c>
      <c r="E22" s="99">
        <v>110</v>
      </c>
      <c r="F22" s="100">
        <v>144</v>
      </c>
      <c r="G22" s="101">
        <v>475</v>
      </c>
      <c r="H22" s="98">
        <f>20+9</f>
        <v>29</v>
      </c>
      <c r="I22" s="101">
        <f>65+37</f>
        <v>102</v>
      </c>
      <c r="J22" s="98">
        <f>3+52</f>
        <v>55</v>
      </c>
      <c r="K22" s="101">
        <f>19+199</f>
        <v>218</v>
      </c>
      <c r="L22" s="98">
        <v>5</v>
      </c>
      <c r="M22" s="99">
        <v>19</v>
      </c>
      <c r="N22" s="107">
        <v>0</v>
      </c>
      <c r="O22" s="108">
        <v>0</v>
      </c>
      <c r="P22" s="109">
        <v>0</v>
      </c>
      <c r="Q22" s="108">
        <v>0</v>
      </c>
      <c r="R22" s="100">
        <v>2</v>
      </c>
      <c r="S22" s="101">
        <v>12</v>
      </c>
      <c r="T22" s="98">
        <f>14+6</f>
        <v>20</v>
      </c>
      <c r="U22" s="101">
        <f>72+17</f>
        <v>89</v>
      </c>
      <c r="V22" s="98">
        <v>6</v>
      </c>
      <c r="W22" s="99">
        <f>9+9</f>
        <v>18</v>
      </c>
    </row>
    <row r="23" spans="1:23">
      <c r="A23" s="430"/>
      <c r="B23" s="432"/>
      <c r="C23" s="97" t="s">
        <v>498</v>
      </c>
      <c r="D23" s="98">
        <v>37</v>
      </c>
      <c r="E23" s="99">
        <v>141</v>
      </c>
      <c r="F23" s="100">
        <v>143</v>
      </c>
      <c r="G23" s="101">
        <v>455</v>
      </c>
      <c r="H23" s="98">
        <f>24+24</f>
        <v>48</v>
      </c>
      <c r="I23" s="101">
        <f>63+44</f>
        <v>107</v>
      </c>
      <c r="J23" s="98">
        <f>14+135</f>
        <v>149</v>
      </c>
      <c r="K23" s="101">
        <f>28+309</f>
        <v>337</v>
      </c>
      <c r="L23" s="98">
        <v>22</v>
      </c>
      <c r="M23" s="99">
        <v>40</v>
      </c>
      <c r="N23" s="107">
        <v>0</v>
      </c>
      <c r="O23" s="108">
        <v>0</v>
      </c>
      <c r="P23" s="109">
        <v>0</v>
      </c>
      <c r="Q23" s="108">
        <v>0</v>
      </c>
      <c r="R23" s="100">
        <v>8</v>
      </c>
      <c r="S23" s="101">
        <v>23</v>
      </c>
      <c r="T23" s="98">
        <f>6+7</f>
        <v>13</v>
      </c>
      <c r="U23" s="101">
        <f>33+15</f>
        <v>48</v>
      </c>
      <c r="V23" s="98">
        <f>0+2</f>
        <v>2</v>
      </c>
      <c r="W23" s="99">
        <f>5+9</f>
        <v>14</v>
      </c>
    </row>
    <row r="24" spans="1:23">
      <c r="A24" s="430"/>
      <c r="B24" s="432"/>
      <c r="C24" s="110" t="s">
        <v>499</v>
      </c>
      <c r="D24" s="98">
        <v>34</v>
      </c>
      <c r="E24" s="99">
        <v>230</v>
      </c>
      <c r="F24" s="100">
        <v>142</v>
      </c>
      <c r="G24" s="101">
        <v>843</v>
      </c>
      <c r="H24" s="98">
        <v>0</v>
      </c>
      <c r="I24" s="101">
        <v>0</v>
      </c>
      <c r="J24" s="98">
        <v>0</v>
      </c>
      <c r="K24" s="101">
        <v>0</v>
      </c>
      <c r="L24" s="98">
        <v>4</v>
      </c>
      <c r="M24" s="99">
        <v>4</v>
      </c>
      <c r="N24" s="107">
        <v>0</v>
      </c>
      <c r="O24" s="108">
        <v>1</v>
      </c>
      <c r="P24" s="109">
        <v>1</v>
      </c>
      <c r="Q24" s="108">
        <v>0</v>
      </c>
      <c r="R24" s="100">
        <v>14</v>
      </c>
      <c r="S24" s="101">
        <v>129</v>
      </c>
      <c r="T24" s="98">
        <v>0</v>
      </c>
      <c r="U24" s="101">
        <v>0</v>
      </c>
      <c r="V24" s="98">
        <v>0</v>
      </c>
      <c r="W24" s="99">
        <v>0</v>
      </c>
    </row>
    <row r="25" spans="1:23">
      <c r="A25" s="430"/>
      <c r="B25" s="432"/>
      <c r="C25" s="97" t="s">
        <v>500</v>
      </c>
      <c r="D25" s="98">
        <v>0</v>
      </c>
      <c r="E25" s="99">
        <v>0</v>
      </c>
      <c r="F25" s="100">
        <v>0</v>
      </c>
      <c r="G25" s="101">
        <v>0</v>
      </c>
      <c r="H25" s="98">
        <f>10+13+4</f>
        <v>27</v>
      </c>
      <c r="I25" s="101">
        <f>29+31+31</f>
        <v>91</v>
      </c>
      <c r="J25" s="98">
        <f>31+31</f>
        <v>62</v>
      </c>
      <c r="K25" s="101">
        <f>65+161</f>
        <v>226</v>
      </c>
      <c r="L25" s="98">
        <v>0</v>
      </c>
      <c r="M25" s="99">
        <v>0</v>
      </c>
      <c r="N25" s="102">
        <v>0</v>
      </c>
      <c r="O25" s="103">
        <v>0</v>
      </c>
      <c r="P25" s="104">
        <v>0</v>
      </c>
      <c r="Q25" s="103">
        <v>0</v>
      </c>
      <c r="R25" s="100">
        <v>2</v>
      </c>
      <c r="S25" s="101">
        <v>17</v>
      </c>
      <c r="T25" s="98">
        <f>23+6</f>
        <v>29</v>
      </c>
      <c r="U25" s="101">
        <f>86+52</f>
        <v>138</v>
      </c>
      <c r="V25" s="98">
        <f>4+2</f>
        <v>6</v>
      </c>
      <c r="W25" s="99">
        <f>6+4</f>
        <v>10</v>
      </c>
    </row>
    <row r="26" spans="1:23">
      <c r="A26" s="430"/>
      <c r="B26" s="432"/>
      <c r="C26" s="97" t="s">
        <v>501</v>
      </c>
      <c r="D26" s="98">
        <v>40</v>
      </c>
      <c r="E26" s="99">
        <v>67</v>
      </c>
      <c r="F26" s="100">
        <v>168</v>
      </c>
      <c r="G26" s="101">
        <v>274</v>
      </c>
      <c r="H26" s="98">
        <v>0</v>
      </c>
      <c r="I26" s="101">
        <v>0</v>
      </c>
      <c r="J26" s="98">
        <v>0</v>
      </c>
      <c r="K26" s="101">
        <v>0</v>
      </c>
      <c r="L26" s="98">
        <v>1</v>
      </c>
      <c r="M26" s="99">
        <v>5</v>
      </c>
      <c r="N26" s="111">
        <v>1</v>
      </c>
      <c r="O26" s="108">
        <v>3</v>
      </c>
      <c r="P26" s="109">
        <v>0</v>
      </c>
      <c r="Q26" s="108">
        <v>0</v>
      </c>
      <c r="R26" s="100">
        <v>0</v>
      </c>
      <c r="S26" s="101">
        <v>0</v>
      </c>
      <c r="T26" s="98">
        <v>0</v>
      </c>
      <c r="U26" s="101">
        <v>0</v>
      </c>
      <c r="V26" s="98">
        <v>0</v>
      </c>
      <c r="W26" s="99">
        <v>0</v>
      </c>
    </row>
    <row r="27" spans="1:23">
      <c r="A27" s="430"/>
      <c r="B27" s="432"/>
      <c r="C27" s="97" t="s">
        <v>502</v>
      </c>
      <c r="D27" s="98">
        <v>0</v>
      </c>
      <c r="E27" s="99">
        <v>0</v>
      </c>
      <c r="F27" s="100">
        <v>1</v>
      </c>
      <c r="G27" s="101">
        <v>1</v>
      </c>
      <c r="H27" s="98">
        <f>25+29</f>
        <v>54</v>
      </c>
      <c r="I27" s="101">
        <f>46+37</f>
        <v>83</v>
      </c>
      <c r="J27" s="98">
        <f>16+82</f>
        <v>98</v>
      </c>
      <c r="K27" s="101">
        <f>22+125</f>
        <v>147</v>
      </c>
      <c r="L27" s="98">
        <v>0</v>
      </c>
      <c r="M27" s="99">
        <v>0</v>
      </c>
      <c r="N27" s="107">
        <v>0</v>
      </c>
      <c r="O27" s="108">
        <v>0</v>
      </c>
      <c r="P27" s="109">
        <v>0</v>
      </c>
      <c r="Q27" s="108">
        <v>0</v>
      </c>
      <c r="R27" s="100">
        <v>0</v>
      </c>
      <c r="S27" s="101">
        <v>5</v>
      </c>
      <c r="T27" s="98">
        <f>5+4</f>
        <v>9</v>
      </c>
      <c r="U27" s="101">
        <f>12+10</f>
        <v>22</v>
      </c>
      <c r="V27" s="98">
        <f>1+4</f>
        <v>5</v>
      </c>
      <c r="W27" s="99">
        <f>2+1</f>
        <v>3</v>
      </c>
    </row>
    <row r="28" spans="1:23">
      <c r="A28" s="430"/>
      <c r="B28" s="432"/>
      <c r="C28" s="97" t="s">
        <v>503</v>
      </c>
      <c r="D28" s="98">
        <v>0</v>
      </c>
      <c r="E28" s="99">
        <v>0</v>
      </c>
      <c r="F28" s="100">
        <v>101</v>
      </c>
      <c r="G28" s="101">
        <v>278</v>
      </c>
      <c r="H28" s="98">
        <f>0+168</f>
        <v>168</v>
      </c>
      <c r="I28" s="101">
        <f>0+118</f>
        <v>118</v>
      </c>
      <c r="J28" s="98">
        <f>0+408</f>
        <v>408</v>
      </c>
      <c r="K28" s="101">
        <f>0+844</f>
        <v>844</v>
      </c>
      <c r="L28" s="98">
        <v>0</v>
      </c>
      <c r="M28" s="99">
        <v>0</v>
      </c>
      <c r="N28" s="107">
        <v>1</v>
      </c>
      <c r="O28" s="108">
        <v>0</v>
      </c>
      <c r="P28" s="109">
        <v>0</v>
      </c>
      <c r="Q28" s="108">
        <v>0</v>
      </c>
      <c r="R28" s="100">
        <v>3</v>
      </c>
      <c r="S28" s="101">
        <v>12</v>
      </c>
      <c r="T28" s="98">
        <f>0+15</f>
        <v>15</v>
      </c>
      <c r="U28" s="101">
        <f>0+30</f>
        <v>30</v>
      </c>
      <c r="V28" s="98">
        <f>0+10</f>
        <v>10</v>
      </c>
      <c r="W28" s="99">
        <f>0+24</f>
        <v>24</v>
      </c>
    </row>
    <row r="29" spans="1:23">
      <c r="A29" s="430"/>
      <c r="B29" s="432" t="s">
        <v>504</v>
      </c>
      <c r="C29" s="97" t="s">
        <v>505</v>
      </c>
      <c r="D29" s="98">
        <v>213</v>
      </c>
      <c r="E29" s="99">
        <v>181</v>
      </c>
      <c r="F29" s="100">
        <v>706</v>
      </c>
      <c r="G29" s="101">
        <v>592</v>
      </c>
      <c r="H29" s="98">
        <f>98+57</f>
        <v>155</v>
      </c>
      <c r="I29" s="101">
        <f>46+31</f>
        <v>77</v>
      </c>
      <c r="J29" s="98">
        <f>51+270</f>
        <v>321</v>
      </c>
      <c r="K29" s="101">
        <f>25+161</f>
        <v>186</v>
      </c>
      <c r="L29" s="98">
        <v>20</v>
      </c>
      <c r="M29" s="99">
        <v>12</v>
      </c>
      <c r="N29" s="107">
        <v>2</v>
      </c>
      <c r="O29" s="108">
        <v>3</v>
      </c>
      <c r="P29" s="109">
        <v>0</v>
      </c>
      <c r="Q29" s="108">
        <v>0</v>
      </c>
      <c r="R29" s="100">
        <v>3</v>
      </c>
      <c r="S29" s="101">
        <v>6</v>
      </c>
      <c r="T29" s="98">
        <f>27+28</f>
        <v>55</v>
      </c>
      <c r="U29" s="101">
        <f>52+14</f>
        <v>66</v>
      </c>
      <c r="V29" s="98">
        <f>19+12</f>
        <v>31</v>
      </c>
      <c r="W29" s="99">
        <f>8+3</f>
        <v>11</v>
      </c>
    </row>
    <row r="30" spans="1:23">
      <c r="A30" s="430"/>
      <c r="B30" s="432"/>
      <c r="C30" s="97" t="s">
        <v>506</v>
      </c>
      <c r="D30" s="98">
        <v>151</v>
      </c>
      <c r="E30" s="99">
        <v>127</v>
      </c>
      <c r="F30" s="100">
        <v>590</v>
      </c>
      <c r="G30" s="101">
        <v>507</v>
      </c>
      <c r="H30" s="98">
        <f>84+56</f>
        <v>140</v>
      </c>
      <c r="I30" s="101">
        <f>41+14</f>
        <v>55</v>
      </c>
      <c r="J30" s="98">
        <f>23+461</f>
        <v>484</v>
      </c>
      <c r="K30" s="101">
        <f>6+252</f>
        <v>258</v>
      </c>
      <c r="L30" s="98">
        <v>43</v>
      </c>
      <c r="M30" s="99">
        <v>39</v>
      </c>
      <c r="N30" s="107">
        <v>3</v>
      </c>
      <c r="O30" s="108">
        <v>2</v>
      </c>
      <c r="P30" s="109">
        <v>0</v>
      </c>
      <c r="Q30" s="108">
        <v>0</v>
      </c>
      <c r="R30" s="100">
        <v>5</v>
      </c>
      <c r="S30" s="101">
        <v>17</v>
      </c>
      <c r="T30" s="98">
        <f>62+36</f>
        <v>98</v>
      </c>
      <c r="U30" s="101">
        <f>67+16</f>
        <v>83</v>
      </c>
      <c r="V30" s="98">
        <f>7+4</f>
        <v>11</v>
      </c>
      <c r="W30" s="99">
        <f>1+2</f>
        <v>3</v>
      </c>
    </row>
    <row r="31" spans="1:23">
      <c r="A31" s="430"/>
      <c r="B31" s="432"/>
      <c r="C31" s="97" t="s">
        <v>507</v>
      </c>
      <c r="D31" s="98">
        <v>96</v>
      </c>
      <c r="E31" s="99">
        <v>119</v>
      </c>
      <c r="F31" s="100">
        <f>293+2</f>
        <v>295</v>
      </c>
      <c r="G31" s="101">
        <v>305</v>
      </c>
      <c r="H31" s="98">
        <f>0+230</f>
        <v>230</v>
      </c>
      <c r="I31" s="101">
        <f>11+155</f>
        <v>166</v>
      </c>
      <c r="J31" s="98">
        <f>1+877</f>
        <v>878</v>
      </c>
      <c r="K31" s="101">
        <f>1+745</f>
        <v>746</v>
      </c>
      <c r="L31" s="98">
        <v>23</v>
      </c>
      <c r="M31" s="99">
        <v>26</v>
      </c>
      <c r="N31" s="107">
        <v>2</v>
      </c>
      <c r="O31" s="108">
        <v>0</v>
      </c>
      <c r="P31" s="109">
        <v>0</v>
      </c>
      <c r="Q31" s="108">
        <v>0</v>
      </c>
      <c r="R31" s="100">
        <v>0</v>
      </c>
      <c r="S31" s="101">
        <v>0</v>
      </c>
      <c r="T31" s="98">
        <f>4+19</f>
        <v>23</v>
      </c>
      <c r="U31" s="101">
        <f>4+39</f>
        <v>43</v>
      </c>
      <c r="V31" s="98">
        <f>0+43</f>
        <v>43</v>
      </c>
      <c r="W31" s="99">
        <f>0+28</f>
        <v>28</v>
      </c>
    </row>
    <row r="32" spans="1:23">
      <c r="A32" s="430"/>
      <c r="B32" s="432"/>
      <c r="C32" s="112" t="s">
        <v>508</v>
      </c>
      <c r="D32" s="98">
        <v>0</v>
      </c>
      <c r="E32" s="99">
        <v>0</v>
      </c>
      <c r="F32" s="100">
        <v>275</v>
      </c>
      <c r="G32" s="101">
        <v>151</v>
      </c>
      <c r="H32" s="98">
        <f>61+39+32</f>
        <v>132</v>
      </c>
      <c r="I32" s="101">
        <f>28+9+14</f>
        <v>51</v>
      </c>
      <c r="J32" s="98">
        <v>225</v>
      </c>
      <c r="K32" s="101">
        <v>118</v>
      </c>
      <c r="L32" s="98">
        <v>0</v>
      </c>
      <c r="M32" s="99">
        <v>2</v>
      </c>
      <c r="N32" s="107">
        <v>2</v>
      </c>
      <c r="O32" s="108">
        <v>1</v>
      </c>
      <c r="P32" s="109">
        <v>0</v>
      </c>
      <c r="Q32" s="108">
        <v>0</v>
      </c>
      <c r="R32" s="100">
        <v>7</v>
      </c>
      <c r="S32" s="101">
        <v>16</v>
      </c>
      <c r="T32" s="98">
        <f>19+13+9</f>
        <v>41</v>
      </c>
      <c r="U32" s="101">
        <f>16+5+11</f>
        <v>32</v>
      </c>
      <c r="V32" s="98">
        <v>15</v>
      </c>
      <c r="W32" s="99">
        <v>9</v>
      </c>
    </row>
    <row r="33" spans="1:23">
      <c r="A33" s="430"/>
      <c r="B33" s="432"/>
      <c r="C33" s="97" t="s">
        <v>218</v>
      </c>
      <c r="D33" s="98">
        <v>163</v>
      </c>
      <c r="E33" s="99">
        <v>90</v>
      </c>
      <c r="F33" s="100">
        <f>737+1</f>
        <v>738</v>
      </c>
      <c r="G33" s="101">
        <v>370</v>
      </c>
      <c r="H33" s="98">
        <f>6+500</f>
        <v>506</v>
      </c>
      <c r="I33" s="101">
        <f>12+236</f>
        <v>248</v>
      </c>
      <c r="J33" s="98">
        <f>2+2189</f>
        <v>2191</v>
      </c>
      <c r="K33" s="101">
        <f>1+1668</f>
        <v>1669</v>
      </c>
      <c r="L33" s="98">
        <v>22</v>
      </c>
      <c r="M33" s="99">
        <v>4</v>
      </c>
      <c r="N33" s="107">
        <v>1</v>
      </c>
      <c r="O33" s="108">
        <v>0</v>
      </c>
      <c r="P33" s="109">
        <v>0</v>
      </c>
      <c r="Q33" s="108">
        <v>0</v>
      </c>
      <c r="R33" s="100">
        <v>5</v>
      </c>
      <c r="S33" s="101">
        <v>4</v>
      </c>
      <c r="T33" s="98">
        <f>0+31</f>
        <v>31</v>
      </c>
      <c r="U33" s="101">
        <f>1+43</f>
        <v>44</v>
      </c>
      <c r="V33" s="98">
        <f>1+67</f>
        <v>68</v>
      </c>
      <c r="W33" s="99">
        <f>0+82</f>
        <v>82</v>
      </c>
    </row>
    <row r="34" spans="1:23">
      <c r="A34" s="430"/>
      <c r="B34" s="432" t="s">
        <v>509</v>
      </c>
      <c r="C34" s="97" t="s">
        <v>510</v>
      </c>
      <c r="D34" s="98">
        <v>87</v>
      </c>
      <c r="E34" s="99">
        <v>102</v>
      </c>
      <c r="F34" s="100">
        <f>277+10</f>
        <v>287</v>
      </c>
      <c r="G34" s="101">
        <f>318+1</f>
        <v>319</v>
      </c>
      <c r="H34" s="98">
        <f>32+81</f>
        <v>113</v>
      </c>
      <c r="I34" s="101">
        <f>35+62</f>
        <v>97</v>
      </c>
      <c r="J34" s="98">
        <f>3+153</f>
        <v>156</v>
      </c>
      <c r="K34" s="101">
        <f>6+162</f>
        <v>168</v>
      </c>
      <c r="L34" s="98">
        <v>5</v>
      </c>
      <c r="M34" s="99">
        <v>12</v>
      </c>
      <c r="N34" s="107">
        <v>3</v>
      </c>
      <c r="O34" s="108">
        <v>3</v>
      </c>
      <c r="P34" s="109">
        <v>0</v>
      </c>
      <c r="Q34" s="108">
        <v>0</v>
      </c>
      <c r="R34" s="100">
        <v>11</v>
      </c>
      <c r="S34" s="101">
        <v>16</v>
      </c>
      <c r="T34" s="98">
        <f>20+19</f>
        <v>39</v>
      </c>
      <c r="U34" s="101">
        <f>33+27</f>
        <v>60</v>
      </c>
      <c r="V34" s="98">
        <f>9+6</f>
        <v>15</v>
      </c>
      <c r="W34" s="99">
        <f>16+4</f>
        <v>20</v>
      </c>
    </row>
    <row r="35" spans="1:23">
      <c r="A35" s="430"/>
      <c r="B35" s="432"/>
      <c r="C35" s="97" t="s">
        <v>222</v>
      </c>
      <c r="D35" s="98">
        <v>63</v>
      </c>
      <c r="E35" s="99">
        <v>190</v>
      </c>
      <c r="F35" s="100">
        <f>157+3</f>
        <v>160</v>
      </c>
      <c r="G35" s="101">
        <f>548+1</f>
        <v>549</v>
      </c>
      <c r="H35" s="98">
        <f>20+36</f>
        <v>56</v>
      </c>
      <c r="I35" s="101">
        <f>87+80</f>
        <v>167</v>
      </c>
      <c r="J35" s="98">
        <f>3+119</f>
        <v>122</v>
      </c>
      <c r="K35" s="101">
        <f>3+329</f>
        <v>332</v>
      </c>
      <c r="L35" s="98">
        <v>4</v>
      </c>
      <c r="M35" s="99">
        <v>21</v>
      </c>
      <c r="N35" s="107">
        <v>1</v>
      </c>
      <c r="O35" s="108">
        <v>0</v>
      </c>
      <c r="P35" s="109">
        <v>0</v>
      </c>
      <c r="Q35" s="108">
        <v>0</v>
      </c>
      <c r="R35" s="100">
        <v>13</v>
      </c>
      <c r="S35" s="101">
        <v>77</v>
      </c>
      <c r="T35" s="98">
        <f>22+4</f>
        <v>26</v>
      </c>
      <c r="U35" s="101">
        <f>119+20</f>
        <v>139</v>
      </c>
      <c r="V35" s="98">
        <f>0+3</f>
        <v>3</v>
      </c>
      <c r="W35" s="99">
        <f>1+11</f>
        <v>12</v>
      </c>
    </row>
    <row r="36" spans="1:23">
      <c r="A36" s="430"/>
      <c r="B36" s="432"/>
      <c r="C36" s="97" t="s">
        <v>511</v>
      </c>
      <c r="D36" s="98">
        <v>11</v>
      </c>
      <c r="E36" s="99">
        <v>73</v>
      </c>
      <c r="F36" s="100">
        <v>50</v>
      </c>
      <c r="G36" s="101">
        <f>335+3</f>
        <v>338</v>
      </c>
      <c r="H36" s="98">
        <f>5+20</f>
        <v>25</v>
      </c>
      <c r="I36" s="101">
        <f>24+113</f>
        <v>137</v>
      </c>
      <c r="J36" s="98">
        <f>0+40</f>
        <v>40</v>
      </c>
      <c r="K36" s="101">
        <f>2+193</f>
        <v>195</v>
      </c>
      <c r="L36" s="98">
        <v>5</v>
      </c>
      <c r="M36" s="99">
        <v>6</v>
      </c>
      <c r="N36" s="107">
        <v>1</v>
      </c>
      <c r="O36" s="108">
        <v>10</v>
      </c>
      <c r="P36" s="109">
        <v>0</v>
      </c>
      <c r="Q36" s="108">
        <v>0</v>
      </c>
      <c r="R36" s="100">
        <v>2</v>
      </c>
      <c r="S36" s="101">
        <v>11</v>
      </c>
      <c r="T36" s="98">
        <f>4+4</f>
        <v>8</v>
      </c>
      <c r="U36" s="101">
        <f>36+13</f>
        <v>49</v>
      </c>
      <c r="V36" s="98">
        <f>0+3</f>
        <v>3</v>
      </c>
      <c r="W36" s="99">
        <f>15+17</f>
        <v>32</v>
      </c>
    </row>
    <row r="37" spans="1:23">
      <c r="A37" s="430"/>
      <c r="B37" s="432" t="s">
        <v>512</v>
      </c>
      <c r="C37" s="97" t="s">
        <v>215</v>
      </c>
      <c r="D37" s="98">
        <v>0</v>
      </c>
      <c r="E37" s="99">
        <v>0</v>
      </c>
      <c r="F37" s="100">
        <f>104+1</f>
        <v>105</v>
      </c>
      <c r="G37" s="101">
        <f>156+1</f>
        <v>157</v>
      </c>
      <c r="H37" s="98">
        <f>8+79</f>
        <v>87</v>
      </c>
      <c r="I37" s="101">
        <f>4+87</f>
        <v>91</v>
      </c>
      <c r="J37" s="98">
        <f>0+152</f>
        <v>152</v>
      </c>
      <c r="K37" s="101">
        <f>0+119</f>
        <v>119</v>
      </c>
      <c r="L37" s="98">
        <v>1</v>
      </c>
      <c r="M37" s="99">
        <v>4</v>
      </c>
      <c r="N37" s="102">
        <v>2</v>
      </c>
      <c r="O37" s="103">
        <v>2</v>
      </c>
      <c r="P37" s="104">
        <v>0</v>
      </c>
      <c r="Q37" s="103">
        <v>0</v>
      </c>
      <c r="R37" s="100">
        <v>0</v>
      </c>
      <c r="S37" s="101">
        <v>2</v>
      </c>
      <c r="T37" s="98">
        <f>8+11</f>
        <v>19</v>
      </c>
      <c r="U37" s="101">
        <f>8+15</f>
        <v>23</v>
      </c>
      <c r="V37" s="98">
        <f>2+13</f>
        <v>15</v>
      </c>
      <c r="W37" s="99">
        <f>0+10</f>
        <v>10</v>
      </c>
    </row>
    <row r="38" spans="1:23">
      <c r="A38" s="430"/>
      <c r="B38" s="432"/>
      <c r="C38" s="97" t="s">
        <v>513</v>
      </c>
      <c r="D38" s="98">
        <v>8</v>
      </c>
      <c r="E38" s="99">
        <v>4</v>
      </c>
      <c r="F38" s="100">
        <f>115+1</f>
        <v>116</v>
      </c>
      <c r="G38" s="101">
        <v>134</v>
      </c>
      <c r="H38" s="98">
        <f>2+72</f>
        <v>74</v>
      </c>
      <c r="I38" s="101">
        <f>0+88</f>
        <v>88</v>
      </c>
      <c r="J38" s="98">
        <f>0+603</f>
        <v>603</v>
      </c>
      <c r="K38" s="101">
        <f>0+184</f>
        <v>184</v>
      </c>
      <c r="L38" s="98">
        <v>8</v>
      </c>
      <c r="M38" s="99">
        <v>4</v>
      </c>
      <c r="N38" s="107">
        <v>3</v>
      </c>
      <c r="O38" s="108">
        <v>2</v>
      </c>
      <c r="P38" s="109">
        <v>0</v>
      </c>
      <c r="Q38" s="108">
        <v>0</v>
      </c>
      <c r="R38" s="100">
        <v>0</v>
      </c>
      <c r="S38" s="101">
        <v>0</v>
      </c>
      <c r="T38" s="98">
        <f>0+4</f>
        <v>4</v>
      </c>
      <c r="U38" s="101">
        <f>0+7</f>
        <v>7</v>
      </c>
      <c r="V38" s="98">
        <f>0+6</f>
        <v>6</v>
      </c>
      <c r="W38" s="99">
        <f>0+3</f>
        <v>3</v>
      </c>
    </row>
    <row r="39" spans="1:23">
      <c r="A39" s="430"/>
      <c r="B39" s="432"/>
      <c r="C39" s="97" t="s">
        <v>514</v>
      </c>
      <c r="D39" s="98">
        <v>0</v>
      </c>
      <c r="E39" s="99">
        <v>0</v>
      </c>
      <c r="F39" s="100">
        <v>111</v>
      </c>
      <c r="G39" s="101">
        <v>134</v>
      </c>
      <c r="H39" s="98">
        <f t="shared" ref="H39:J40" si="0">0+0</f>
        <v>0</v>
      </c>
      <c r="I39" s="101">
        <f t="shared" si="0"/>
        <v>0</v>
      </c>
      <c r="J39" s="98">
        <f t="shared" si="0"/>
        <v>0</v>
      </c>
      <c r="K39" s="101">
        <f>0+0</f>
        <v>0</v>
      </c>
      <c r="L39" s="98">
        <v>5</v>
      </c>
      <c r="M39" s="99">
        <v>3</v>
      </c>
      <c r="N39" s="107">
        <v>1</v>
      </c>
      <c r="O39" s="108">
        <v>1</v>
      </c>
      <c r="P39" s="109">
        <v>0</v>
      </c>
      <c r="Q39" s="108">
        <v>0</v>
      </c>
      <c r="R39" s="100">
        <v>0</v>
      </c>
      <c r="S39" s="101">
        <v>0</v>
      </c>
      <c r="T39" s="98">
        <v>0</v>
      </c>
      <c r="U39" s="101">
        <v>0</v>
      </c>
      <c r="V39" s="98">
        <v>0</v>
      </c>
      <c r="W39" s="99">
        <v>0</v>
      </c>
    </row>
    <row r="40" spans="1:23" ht="15.75" thickBot="1">
      <c r="A40" s="430"/>
      <c r="B40" s="432"/>
      <c r="C40" s="97" t="s">
        <v>515</v>
      </c>
      <c r="D40" s="98">
        <v>24</v>
      </c>
      <c r="E40" s="99">
        <v>49</v>
      </c>
      <c r="F40" s="100">
        <v>124</v>
      </c>
      <c r="G40" s="101">
        <v>216</v>
      </c>
      <c r="H40" s="98">
        <f t="shared" si="0"/>
        <v>0</v>
      </c>
      <c r="I40" s="101">
        <f t="shared" si="0"/>
        <v>0</v>
      </c>
      <c r="J40" s="98">
        <f t="shared" si="0"/>
        <v>0</v>
      </c>
      <c r="K40" s="101">
        <f>0+0</f>
        <v>0</v>
      </c>
      <c r="L40" s="98">
        <v>1</v>
      </c>
      <c r="M40" s="99">
        <v>8</v>
      </c>
      <c r="N40" s="107">
        <v>2</v>
      </c>
      <c r="O40" s="108">
        <v>2</v>
      </c>
      <c r="P40" s="109">
        <v>0</v>
      </c>
      <c r="Q40" s="108">
        <v>0</v>
      </c>
      <c r="R40" s="100">
        <v>0</v>
      </c>
      <c r="S40" s="101">
        <v>0</v>
      </c>
      <c r="T40" s="98">
        <v>0</v>
      </c>
      <c r="U40" s="101">
        <v>0</v>
      </c>
      <c r="V40" s="98">
        <v>0</v>
      </c>
      <c r="W40" s="99">
        <v>0</v>
      </c>
    </row>
    <row r="41" spans="1:23" ht="15.75" thickBot="1">
      <c r="A41" s="115"/>
      <c r="B41" s="116"/>
      <c r="C41" s="117" t="s">
        <v>516</v>
      </c>
      <c r="D41" s="118">
        <f t="shared" ref="D41:W41" si="1">SUM(D4:D40)</f>
        <v>2332</v>
      </c>
      <c r="E41" s="118">
        <f t="shared" si="1"/>
        <v>2841</v>
      </c>
      <c r="F41" s="118">
        <f t="shared" si="1"/>
        <v>10533</v>
      </c>
      <c r="G41" s="118">
        <f t="shared" si="1"/>
        <v>11732</v>
      </c>
      <c r="H41" s="118">
        <f t="shared" si="1"/>
        <v>3834</v>
      </c>
      <c r="I41" s="118">
        <f t="shared" si="1"/>
        <v>2934</v>
      </c>
      <c r="J41" s="118">
        <f t="shared" si="1"/>
        <v>12571</v>
      </c>
      <c r="K41" s="118">
        <f t="shared" si="1"/>
        <v>9038</v>
      </c>
      <c r="L41" s="118">
        <f t="shared" si="1"/>
        <v>486</v>
      </c>
      <c r="M41" s="118">
        <f t="shared" si="1"/>
        <v>557</v>
      </c>
      <c r="N41" s="118">
        <f t="shared" si="1"/>
        <v>84</v>
      </c>
      <c r="O41" s="118">
        <f t="shared" si="1"/>
        <v>76</v>
      </c>
      <c r="P41" s="118">
        <f t="shared" si="1"/>
        <v>11</v>
      </c>
      <c r="Q41" s="118">
        <f t="shared" si="1"/>
        <v>6</v>
      </c>
      <c r="R41" s="118">
        <f t="shared" si="1"/>
        <v>174</v>
      </c>
      <c r="S41" s="118">
        <f t="shared" si="1"/>
        <v>590</v>
      </c>
      <c r="T41" s="118">
        <f t="shared" si="1"/>
        <v>1029</v>
      </c>
      <c r="U41" s="118">
        <f t="shared" si="1"/>
        <v>1557</v>
      </c>
      <c r="V41" s="118">
        <f t="shared" si="1"/>
        <v>528</v>
      </c>
      <c r="W41" s="118">
        <f t="shared" si="1"/>
        <v>511</v>
      </c>
    </row>
    <row r="42" spans="1:23" ht="15.75" thickBot="1">
      <c r="B42" s="119"/>
      <c r="C42" s="120"/>
      <c r="D42" s="433">
        <f>D41+E41</f>
        <v>5173</v>
      </c>
      <c r="E42" s="434"/>
      <c r="F42" s="433">
        <f>F41+G41</f>
        <v>22265</v>
      </c>
      <c r="G42" s="434"/>
      <c r="H42" s="433">
        <f>H41+I41</f>
        <v>6768</v>
      </c>
      <c r="I42" s="434"/>
      <c r="J42" s="433">
        <f>J41+K41</f>
        <v>21609</v>
      </c>
      <c r="K42" s="434"/>
      <c r="L42" s="433">
        <f>L41+M41</f>
        <v>1043</v>
      </c>
      <c r="M42" s="434"/>
      <c r="N42" s="433">
        <f>N41+O41</f>
        <v>160</v>
      </c>
      <c r="O42" s="434"/>
      <c r="P42" s="433">
        <f>P41+Q41</f>
        <v>17</v>
      </c>
      <c r="Q42" s="434"/>
      <c r="R42" s="435">
        <f>R41+S41</f>
        <v>764</v>
      </c>
      <c r="S42" s="434"/>
      <c r="T42" s="435">
        <f>T41+U41</f>
        <v>2586</v>
      </c>
      <c r="U42" s="434"/>
      <c r="V42" s="435">
        <f>V41+W41</f>
        <v>1039</v>
      </c>
      <c r="W42" s="434"/>
    </row>
  </sheetData>
  <mergeCells count="29">
    <mergeCell ref="P42:Q42"/>
    <mergeCell ref="R42:S42"/>
    <mergeCell ref="T42:U42"/>
    <mergeCell ref="V42:W42"/>
    <mergeCell ref="D42:E42"/>
    <mergeCell ref="F42:G42"/>
    <mergeCell ref="H42:I42"/>
    <mergeCell ref="J42:K42"/>
    <mergeCell ref="L42:M42"/>
    <mergeCell ref="N42:O42"/>
    <mergeCell ref="A4:A40"/>
    <mergeCell ref="B4:B9"/>
    <mergeCell ref="B10:B17"/>
    <mergeCell ref="B18:B19"/>
    <mergeCell ref="B20:B28"/>
    <mergeCell ref="B29:B33"/>
    <mergeCell ref="B34:B36"/>
    <mergeCell ref="B37:B40"/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</mergeCells>
  <pageMargins left="0.7" right="0.7" top="0.75" bottom="0.75" header="0.3" footer="0.3"/>
  <pageSetup paperSize="9" scale="5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00"/>
  <sheetViews>
    <sheetView topLeftCell="A4" workbookViewId="0">
      <selection activeCell="D13" sqref="D13:W13"/>
    </sheetView>
  </sheetViews>
  <sheetFormatPr defaultColWidth="14.42578125" defaultRowHeight="15" customHeight="1"/>
  <cols>
    <col min="1" max="1" width="8.7109375" style="50" customWidth="1"/>
    <col min="2" max="2" width="17.5703125" style="50" customWidth="1"/>
    <col min="3" max="3" width="14.140625" style="50" customWidth="1"/>
    <col min="4" max="23" width="5.85546875" style="50" customWidth="1"/>
    <col min="24" max="25" width="8.7109375" style="50" customWidth="1"/>
    <col min="26" max="16384" width="14.42578125" style="50"/>
  </cols>
  <sheetData>
    <row r="1" spans="1:25">
      <c r="A1" s="438" t="s">
        <v>8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7"/>
      <c r="W1" s="437"/>
      <c r="X1" s="49"/>
      <c r="Y1" s="49"/>
    </row>
    <row r="2" spans="1:25" ht="151.5" customHeight="1">
      <c r="A2" s="78" t="s">
        <v>0</v>
      </c>
      <c r="B2" s="78" t="s">
        <v>4</v>
      </c>
      <c r="C2" s="78" t="s">
        <v>1</v>
      </c>
      <c r="D2" s="436" t="s">
        <v>5</v>
      </c>
      <c r="E2" s="437"/>
      <c r="F2" s="439" t="s">
        <v>2</v>
      </c>
      <c r="G2" s="437"/>
      <c r="H2" s="439" t="s">
        <v>10</v>
      </c>
      <c r="I2" s="437"/>
      <c r="J2" s="439" t="s">
        <v>11</v>
      </c>
      <c r="K2" s="437"/>
      <c r="L2" s="440" t="s">
        <v>9</v>
      </c>
      <c r="M2" s="437"/>
      <c r="N2" s="440" t="s">
        <v>14</v>
      </c>
      <c r="O2" s="437"/>
      <c r="P2" s="439" t="s">
        <v>15</v>
      </c>
      <c r="Q2" s="437"/>
      <c r="R2" s="436" t="s">
        <v>3</v>
      </c>
      <c r="S2" s="437"/>
      <c r="T2" s="436" t="s">
        <v>12</v>
      </c>
      <c r="U2" s="437"/>
      <c r="V2" s="436" t="s">
        <v>13</v>
      </c>
      <c r="W2" s="437"/>
      <c r="X2" s="51"/>
      <c r="Y2" s="51"/>
    </row>
    <row r="3" spans="1:25" ht="25.5">
      <c r="A3" s="79"/>
      <c r="B3" s="79"/>
      <c r="C3" s="79"/>
      <c r="D3" s="79" t="s">
        <v>6</v>
      </c>
      <c r="E3" s="79" t="s">
        <v>7</v>
      </c>
      <c r="F3" s="79" t="s">
        <v>6</v>
      </c>
      <c r="G3" s="79" t="s">
        <v>7</v>
      </c>
      <c r="H3" s="79" t="s">
        <v>6</v>
      </c>
      <c r="I3" s="79" t="s">
        <v>7</v>
      </c>
      <c r="J3" s="79" t="s">
        <v>6</v>
      </c>
      <c r="K3" s="79" t="s">
        <v>7</v>
      </c>
      <c r="L3" s="79" t="s">
        <v>6</v>
      </c>
      <c r="M3" s="79" t="s">
        <v>7</v>
      </c>
      <c r="N3" s="79" t="s">
        <v>6</v>
      </c>
      <c r="O3" s="79" t="s">
        <v>7</v>
      </c>
      <c r="P3" s="79" t="s">
        <v>6</v>
      </c>
      <c r="Q3" s="79" t="s">
        <v>7</v>
      </c>
      <c r="R3" s="79" t="s">
        <v>6</v>
      </c>
      <c r="S3" s="79" t="s">
        <v>7</v>
      </c>
      <c r="T3" s="79" t="s">
        <v>6</v>
      </c>
      <c r="U3" s="79" t="s">
        <v>7</v>
      </c>
      <c r="V3" s="79" t="s">
        <v>6</v>
      </c>
      <c r="W3" s="79" t="s">
        <v>7</v>
      </c>
      <c r="X3" s="49"/>
      <c r="Y3" s="49"/>
    </row>
    <row r="4" spans="1:25" ht="38.25">
      <c r="A4" s="80" t="s">
        <v>539</v>
      </c>
      <c r="B4" s="81" t="s">
        <v>540</v>
      </c>
      <c r="C4" s="81" t="s">
        <v>541</v>
      </c>
      <c r="D4" s="82">
        <v>128</v>
      </c>
      <c r="E4" s="82">
        <v>209</v>
      </c>
      <c r="F4" s="83">
        <v>446</v>
      </c>
      <c r="G4" s="83">
        <v>796</v>
      </c>
      <c r="H4" s="84">
        <v>144</v>
      </c>
      <c r="I4" s="84">
        <v>221</v>
      </c>
      <c r="J4" s="84">
        <v>1172</v>
      </c>
      <c r="K4" s="84">
        <v>1088</v>
      </c>
      <c r="L4" s="84">
        <v>16</v>
      </c>
      <c r="M4" s="85">
        <v>27</v>
      </c>
      <c r="N4" s="85">
        <v>3</v>
      </c>
      <c r="O4" s="85">
        <v>4</v>
      </c>
      <c r="P4" s="85">
        <v>0</v>
      </c>
      <c r="Q4" s="85">
        <v>0</v>
      </c>
      <c r="R4" s="84">
        <v>0</v>
      </c>
      <c r="S4" s="84">
        <v>8</v>
      </c>
      <c r="T4" s="84">
        <v>13</v>
      </c>
      <c r="U4" s="84">
        <v>50</v>
      </c>
      <c r="V4" s="84">
        <v>25</v>
      </c>
      <c r="W4" s="84">
        <v>41</v>
      </c>
      <c r="X4" s="51"/>
      <c r="Y4" s="49"/>
    </row>
    <row r="5" spans="1:25" ht="38.25">
      <c r="A5" s="80" t="s">
        <v>539</v>
      </c>
      <c r="B5" s="81" t="s">
        <v>540</v>
      </c>
      <c r="C5" s="81" t="s">
        <v>542</v>
      </c>
      <c r="D5" s="82">
        <v>105</v>
      </c>
      <c r="E5" s="82">
        <v>98</v>
      </c>
      <c r="F5" s="82">
        <v>510</v>
      </c>
      <c r="G5" s="82">
        <v>439</v>
      </c>
      <c r="H5" s="84">
        <v>140</v>
      </c>
      <c r="I5" s="84">
        <v>78</v>
      </c>
      <c r="J5" s="84">
        <v>989</v>
      </c>
      <c r="K5" s="84">
        <v>739</v>
      </c>
      <c r="L5" s="84">
        <v>15</v>
      </c>
      <c r="M5" s="85">
        <v>8</v>
      </c>
      <c r="N5" s="85">
        <v>4</v>
      </c>
      <c r="O5" s="85">
        <v>0</v>
      </c>
      <c r="P5" s="85">
        <v>0</v>
      </c>
      <c r="Q5" s="85">
        <v>0</v>
      </c>
      <c r="R5" s="84">
        <v>3</v>
      </c>
      <c r="S5" s="84">
        <v>1</v>
      </c>
      <c r="T5" s="84">
        <v>16</v>
      </c>
      <c r="U5" s="84">
        <v>22</v>
      </c>
      <c r="V5" s="84">
        <v>28</v>
      </c>
      <c r="W5" s="84">
        <v>27</v>
      </c>
      <c r="X5" s="51"/>
      <c r="Y5" s="49"/>
    </row>
    <row r="6" spans="1:25" ht="38.25">
      <c r="A6" s="80" t="s">
        <v>539</v>
      </c>
      <c r="B6" s="81" t="s">
        <v>543</v>
      </c>
      <c r="C6" s="81" t="s">
        <v>544</v>
      </c>
      <c r="D6" s="82">
        <v>90</v>
      </c>
      <c r="E6" s="82">
        <v>94</v>
      </c>
      <c r="F6" s="82">
        <v>292</v>
      </c>
      <c r="G6" s="82">
        <v>398</v>
      </c>
      <c r="H6" s="84">
        <v>71</v>
      </c>
      <c r="I6" s="84">
        <v>65</v>
      </c>
      <c r="J6" s="84">
        <v>732</v>
      </c>
      <c r="K6" s="84">
        <v>729</v>
      </c>
      <c r="L6" s="84">
        <v>7</v>
      </c>
      <c r="M6" s="85">
        <v>12</v>
      </c>
      <c r="N6" s="85">
        <v>5</v>
      </c>
      <c r="O6" s="85">
        <v>0</v>
      </c>
      <c r="P6" s="85">
        <v>0</v>
      </c>
      <c r="Q6" s="85">
        <v>0</v>
      </c>
      <c r="R6" s="84">
        <v>10</v>
      </c>
      <c r="S6" s="84">
        <v>10</v>
      </c>
      <c r="T6" s="84">
        <v>15</v>
      </c>
      <c r="U6" s="84">
        <v>17</v>
      </c>
      <c r="V6" s="84">
        <v>12</v>
      </c>
      <c r="W6" s="84">
        <v>22</v>
      </c>
      <c r="X6" s="51"/>
      <c r="Y6" s="49"/>
    </row>
    <row r="7" spans="1:25" ht="25.5">
      <c r="A7" s="80" t="s">
        <v>539</v>
      </c>
      <c r="B7" s="81" t="s">
        <v>543</v>
      </c>
      <c r="C7" s="81" t="s">
        <v>545</v>
      </c>
      <c r="D7" s="82">
        <v>48</v>
      </c>
      <c r="E7" s="82">
        <v>136</v>
      </c>
      <c r="F7" s="82">
        <v>187</v>
      </c>
      <c r="G7" s="82">
        <v>546</v>
      </c>
      <c r="H7" s="84">
        <v>45</v>
      </c>
      <c r="I7" s="84">
        <v>82</v>
      </c>
      <c r="J7" s="84">
        <v>208</v>
      </c>
      <c r="K7" s="84">
        <v>360</v>
      </c>
      <c r="L7" s="84">
        <v>7</v>
      </c>
      <c r="M7" s="85">
        <v>11</v>
      </c>
      <c r="N7" s="85">
        <v>0</v>
      </c>
      <c r="O7" s="85">
        <v>1</v>
      </c>
      <c r="P7" s="85">
        <v>0</v>
      </c>
      <c r="Q7" s="85">
        <v>0</v>
      </c>
      <c r="R7" s="84">
        <v>2</v>
      </c>
      <c r="S7" s="84">
        <v>8</v>
      </c>
      <c r="T7" s="84">
        <v>4</v>
      </c>
      <c r="U7" s="84">
        <v>18</v>
      </c>
      <c r="V7" s="84">
        <v>3</v>
      </c>
      <c r="W7" s="84">
        <v>14</v>
      </c>
      <c r="X7" s="51"/>
      <c r="Y7" s="49"/>
    </row>
    <row r="8" spans="1:25" ht="25.5">
      <c r="A8" s="80" t="s">
        <v>539</v>
      </c>
      <c r="B8" s="81" t="s">
        <v>546</v>
      </c>
      <c r="C8" s="81" t="s">
        <v>547</v>
      </c>
      <c r="D8" s="82">
        <v>45</v>
      </c>
      <c r="E8" s="82">
        <v>174</v>
      </c>
      <c r="F8" s="82">
        <v>203</v>
      </c>
      <c r="G8" s="82">
        <v>746</v>
      </c>
      <c r="H8" s="84">
        <v>68</v>
      </c>
      <c r="I8" s="84">
        <v>170</v>
      </c>
      <c r="J8" s="84">
        <v>636</v>
      </c>
      <c r="K8" s="84">
        <v>1066</v>
      </c>
      <c r="L8" s="84">
        <v>5</v>
      </c>
      <c r="M8" s="85">
        <v>17</v>
      </c>
      <c r="N8" s="85">
        <v>2</v>
      </c>
      <c r="O8" s="85">
        <v>5</v>
      </c>
      <c r="P8" s="85">
        <v>0</v>
      </c>
      <c r="Q8" s="85">
        <v>0</v>
      </c>
      <c r="R8" s="84">
        <v>3</v>
      </c>
      <c r="S8" s="84">
        <v>33</v>
      </c>
      <c r="T8" s="84">
        <v>13</v>
      </c>
      <c r="U8" s="84">
        <v>42</v>
      </c>
      <c r="V8" s="84">
        <v>10</v>
      </c>
      <c r="W8" s="84">
        <v>34</v>
      </c>
      <c r="X8" s="51"/>
      <c r="Y8" s="49"/>
    </row>
    <row r="9" spans="1:25" ht="25.5">
      <c r="A9" s="80" t="s">
        <v>539</v>
      </c>
      <c r="B9" s="81" t="s">
        <v>546</v>
      </c>
      <c r="C9" s="81" t="s">
        <v>548</v>
      </c>
      <c r="D9" s="82">
        <v>30</v>
      </c>
      <c r="E9" s="82">
        <v>187</v>
      </c>
      <c r="F9" s="82">
        <v>133</v>
      </c>
      <c r="G9" s="82">
        <v>719</v>
      </c>
      <c r="H9" s="84">
        <v>20</v>
      </c>
      <c r="I9" s="84">
        <v>118</v>
      </c>
      <c r="J9" s="84">
        <v>142</v>
      </c>
      <c r="K9" s="84">
        <v>406</v>
      </c>
      <c r="L9" s="84">
        <v>2</v>
      </c>
      <c r="M9" s="85">
        <v>5</v>
      </c>
      <c r="N9" s="85">
        <v>3</v>
      </c>
      <c r="O9" s="85">
        <v>0</v>
      </c>
      <c r="P9" s="85">
        <v>0</v>
      </c>
      <c r="Q9" s="85">
        <v>0</v>
      </c>
      <c r="R9" s="84">
        <v>2</v>
      </c>
      <c r="S9" s="84">
        <v>12</v>
      </c>
      <c r="T9" s="84">
        <v>5</v>
      </c>
      <c r="U9" s="84">
        <v>28</v>
      </c>
      <c r="V9" s="84">
        <v>11</v>
      </c>
      <c r="W9" s="84">
        <v>26</v>
      </c>
      <c r="X9" s="51"/>
      <c r="Y9" s="49"/>
    </row>
    <row r="10" spans="1:25" ht="25.5">
      <c r="A10" s="80" t="s">
        <v>539</v>
      </c>
      <c r="B10" s="81" t="s">
        <v>546</v>
      </c>
      <c r="C10" s="81" t="s">
        <v>549</v>
      </c>
      <c r="D10" s="82">
        <v>28</v>
      </c>
      <c r="E10" s="82">
        <v>110</v>
      </c>
      <c r="F10" s="82">
        <v>148</v>
      </c>
      <c r="G10" s="82">
        <v>506</v>
      </c>
      <c r="H10" s="84">
        <v>39</v>
      </c>
      <c r="I10" s="84">
        <v>137</v>
      </c>
      <c r="J10" s="84">
        <v>227</v>
      </c>
      <c r="K10" s="84">
        <v>569</v>
      </c>
      <c r="L10" s="84">
        <v>4</v>
      </c>
      <c r="M10" s="85">
        <v>18</v>
      </c>
      <c r="N10" s="85">
        <v>0</v>
      </c>
      <c r="O10" s="85">
        <v>1</v>
      </c>
      <c r="P10" s="85">
        <v>0</v>
      </c>
      <c r="Q10" s="85">
        <v>0</v>
      </c>
      <c r="R10" s="84">
        <v>4</v>
      </c>
      <c r="S10" s="84">
        <v>6</v>
      </c>
      <c r="T10" s="84">
        <v>7</v>
      </c>
      <c r="U10" s="84">
        <v>22</v>
      </c>
      <c r="V10" s="84">
        <v>10</v>
      </c>
      <c r="W10" s="84">
        <v>31</v>
      </c>
      <c r="X10" s="51"/>
      <c r="Y10" s="49"/>
    </row>
    <row r="11" spans="1:25" ht="51">
      <c r="A11" s="80" t="s">
        <v>539</v>
      </c>
      <c r="B11" s="81" t="s">
        <v>550</v>
      </c>
      <c r="C11" s="81" t="s">
        <v>551</v>
      </c>
      <c r="D11" s="82">
        <v>51</v>
      </c>
      <c r="E11" s="82">
        <v>129</v>
      </c>
      <c r="F11" s="82">
        <v>216</v>
      </c>
      <c r="G11" s="82">
        <v>521</v>
      </c>
      <c r="H11" s="84">
        <v>34</v>
      </c>
      <c r="I11" s="84">
        <v>74</v>
      </c>
      <c r="J11" s="84">
        <v>181</v>
      </c>
      <c r="K11" s="84">
        <v>302</v>
      </c>
      <c r="L11" s="84">
        <v>6</v>
      </c>
      <c r="M11" s="85">
        <v>23</v>
      </c>
      <c r="N11" s="85">
        <v>0</v>
      </c>
      <c r="O11" s="85">
        <v>0</v>
      </c>
      <c r="P11" s="85">
        <v>0</v>
      </c>
      <c r="Q11" s="85">
        <v>0</v>
      </c>
      <c r="R11" s="84">
        <v>2</v>
      </c>
      <c r="S11" s="84">
        <v>3</v>
      </c>
      <c r="T11" s="84">
        <v>5</v>
      </c>
      <c r="U11" s="84">
        <v>24</v>
      </c>
      <c r="V11" s="84">
        <v>40</v>
      </c>
      <c r="W11" s="84">
        <v>16</v>
      </c>
      <c r="X11" s="51"/>
      <c r="Y11" s="49"/>
    </row>
    <row r="12" spans="1:25" ht="38.25">
      <c r="A12" s="80" t="s">
        <v>539</v>
      </c>
      <c r="B12" s="81" t="s">
        <v>550</v>
      </c>
      <c r="C12" s="81" t="s">
        <v>552</v>
      </c>
      <c r="D12" s="82">
        <v>28</v>
      </c>
      <c r="E12" s="82">
        <v>141</v>
      </c>
      <c r="F12" s="82">
        <v>161</v>
      </c>
      <c r="G12" s="82">
        <v>526</v>
      </c>
      <c r="H12" s="84">
        <v>58</v>
      </c>
      <c r="I12" s="84">
        <v>68</v>
      </c>
      <c r="J12" s="84">
        <v>621</v>
      </c>
      <c r="K12" s="84">
        <v>854</v>
      </c>
      <c r="L12" s="84">
        <v>2</v>
      </c>
      <c r="M12" s="85">
        <v>8</v>
      </c>
      <c r="N12" s="85">
        <v>2</v>
      </c>
      <c r="O12" s="85">
        <v>5</v>
      </c>
      <c r="P12" s="85">
        <v>0</v>
      </c>
      <c r="Q12" s="85">
        <v>0</v>
      </c>
      <c r="R12" s="84">
        <v>6</v>
      </c>
      <c r="S12" s="84">
        <v>13</v>
      </c>
      <c r="T12" s="84">
        <v>7</v>
      </c>
      <c r="U12" s="84">
        <v>23</v>
      </c>
      <c r="V12" s="84">
        <v>5</v>
      </c>
      <c r="W12" s="84">
        <v>19</v>
      </c>
      <c r="X12" s="51"/>
      <c r="Y12" s="49"/>
    </row>
    <row r="13" spans="1:25">
      <c r="A13" s="80"/>
      <c r="B13" s="80"/>
      <c r="C13" s="80" t="s">
        <v>126</v>
      </c>
      <c r="D13" s="82">
        <f>SUM(D4:D12)</f>
        <v>553</v>
      </c>
      <c r="E13" s="82">
        <f t="shared" ref="E13:W13" si="0">SUM(E4:E12)</f>
        <v>1278</v>
      </c>
      <c r="F13" s="82">
        <f t="shared" si="0"/>
        <v>2296</v>
      </c>
      <c r="G13" s="82">
        <f t="shared" si="0"/>
        <v>5197</v>
      </c>
      <c r="H13" s="82">
        <f t="shared" si="0"/>
        <v>619</v>
      </c>
      <c r="I13" s="82">
        <f t="shared" si="0"/>
        <v>1013</v>
      </c>
      <c r="J13" s="82">
        <f t="shared" si="0"/>
        <v>4908</v>
      </c>
      <c r="K13" s="82">
        <f t="shared" si="0"/>
        <v>6113</v>
      </c>
      <c r="L13" s="82">
        <f t="shared" si="0"/>
        <v>64</v>
      </c>
      <c r="M13" s="82">
        <f t="shared" si="0"/>
        <v>129</v>
      </c>
      <c r="N13" s="82">
        <f t="shared" si="0"/>
        <v>19</v>
      </c>
      <c r="O13" s="82">
        <f t="shared" si="0"/>
        <v>16</v>
      </c>
      <c r="P13" s="82">
        <f t="shared" si="0"/>
        <v>0</v>
      </c>
      <c r="Q13" s="82">
        <f t="shared" si="0"/>
        <v>0</v>
      </c>
      <c r="R13" s="82">
        <f t="shared" si="0"/>
        <v>32</v>
      </c>
      <c r="S13" s="82">
        <f t="shared" si="0"/>
        <v>94</v>
      </c>
      <c r="T13" s="82">
        <f t="shared" si="0"/>
        <v>85</v>
      </c>
      <c r="U13" s="82">
        <f t="shared" si="0"/>
        <v>246</v>
      </c>
      <c r="V13" s="82">
        <f t="shared" si="0"/>
        <v>144</v>
      </c>
      <c r="W13" s="82">
        <f t="shared" si="0"/>
        <v>230</v>
      </c>
      <c r="X13" s="51"/>
      <c r="Y13" s="49"/>
    </row>
    <row r="14" spans="1:25">
      <c r="A14" s="49"/>
      <c r="B14" s="49"/>
      <c r="C14" s="49"/>
      <c r="D14" s="51"/>
      <c r="E14" s="51"/>
      <c r="F14" s="51"/>
      <c r="G14" s="51"/>
      <c r="H14" s="51"/>
      <c r="I14" s="51"/>
      <c r="J14" s="51"/>
      <c r="K14" s="51"/>
      <c r="L14" s="51"/>
      <c r="M14" s="52"/>
      <c r="N14" s="52"/>
      <c r="O14" s="52"/>
      <c r="P14" s="52"/>
      <c r="Q14" s="52"/>
      <c r="R14" s="51"/>
      <c r="S14" s="51"/>
      <c r="T14" s="51"/>
      <c r="U14" s="51"/>
      <c r="V14" s="51"/>
      <c r="W14" s="51"/>
      <c r="X14" s="51"/>
      <c r="Y14" s="49"/>
    </row>
    <row r="15" spans="1:25">
      <c r="A15" s="49"/>
      <c r="B15" s="49"/>
      <c r="C15" s="49"/>
      <c r="D15" s="51"/>
      <c r="E15" s="51"/>
      <c r="F15" s="51"/>
      <c r="G15" s="51"/>
      <c r="H15" s="51"/>
      <c r="I15" s="51"/>
      <c r="J15" s="51"/>
      <c r="K15" s="51"/>
      <c r="L15" s="51"/>
      <c r="M15" s="52"/>
      <c r="N15" s="52"/>
      <c r="O15" s="52"/>
      <c r="P15" s="52"/>
      <c r="Q15" s="52"/>
      <c r="R15" s="51"/>
      <c r="S15" s="51"/>
      <c r="T15" s="51"/>
      <c r="U15" s="51"/>
      <c r="V15" s="51"/>
      <c r="W15" s="51"/>
      <c r="X15" s="51"/>
      <c r="Y15" s="49"/>
    </row>
    <row r="16" spans="1:25">
      <c r="A16" s="49"/>
      <c r="B16" s="49"/>
      <c r="C16" s="49"/>
      <c r="D16" s="51"/>
      <c r="E16" s="51"/>
      <c r="F16" s="51"/>
      <c r="G16" s="51"/>
      <c r="H16" s="51"/>
      <c r="I16" s="51"/>
      <c r="J16" s="51"/>
      <c r="K16" s="51"/>
      <c r="L16" s="51"/>
      <c r="M16" s="52"/>
      <c r="N16" s="52"/>
      <c r="O16" s="52"/>
      <c r="P16" s="52"/>
      <c r="Q16" s="52"/>
      <c r="R16" s="51"/>
      <c r="S16" s="51"/>
      <c r="T16" s="51"/>
      <c r="U16" s="51"/>
      <c r="V16" s="51"/>
      <c r="W16" s="51"/>
      <c r="X16" s="51"/>
      <c r="Y16" s="49"/>
    </row>
    <row r="17" spans="1:25">
      <c r="A17" s="49"/>
      <c r="B17" s="49"/>
      <c r="C17" s="49"/>
      <c r="D17" s="51"/>
      <c r="E17" s="51"/>
      <c r="F17" s="51"/>
      <c r="G17" s="51"/>
      <c r="H17" s="51"/>
      <c r="I17" s="51"/>
      <c r="J17" s="51"/>
      <c r="K17" s="51"/>
      <c r="L17" s="51"/>
      <c r="M17" s="52"/>
      <c r="N17" s="52"/>
      <c r="O17" s="52"/>
      <c r="P17" s="52"/>
      <c r="Q17" s="52"/>
      <c r="R17" s="51"/>
      <c r="S17" s="51"/>
      <c r="T17" s="51"/>
      <c r="U17" s="51"/>
      <c r="V17" s="51"/>
      <c r="W17" s="51"/>
      <c r="X17" s="51"/>
      <c r="Y17" s="49"/>
    </row>
    <row r="18" spans="1:25">
      <c r="A18" s="49"/>
      <c r="B18" s="49"/>
      <c r="C18" s="49"/>
      <c r="D18" s="51"/>
      <c r="E18" s="51"/>
      <c r="F18" s="51"/>
      <c r="G18" s="51"/>
      <c r="H18" s="51"/>
      <c r="I18" s="51"/>
      <c r="J18" s="51"/>
      <c r="K18" s="51"/>
      <c r="L18" s="51"/>
      <c r="M18" s="52"/>
      <c r="N18" s="52"/>
      <c r="O18" s="52"/>
      <c r="P18" s="52"/>
      <c r="Q18" s="52"/>
      <c r="R18" s="51"/>
      <c r="S18" s="51"/>
      <c r="T18" s="51"/>
      <c r="U18" s="51"/>
      <c r="V18" s="51"/>
      <c r="W18" s="51"/>
      <c r="X18" s="51"/>
      <c r="Y18" s="49"/>
    </row>
    <row r="19" spans="1:25">
      <c r="A19" s="49"/>
      <c r="B19" s="49"/>
      <c r="C19" s="49"/>
      <c r="D19" s="51"/>
      <c r="E19" s="51"/>
      <c r="F19" s="51"/>
      <c r="G19" s="51"/>
      <c r="H19" s="51"/>
      <c r="I19" s="51"/>
      <c r="J19" s="51"/>
      <c r="K19" s="51"/>
      <c r="L19" s="51"/>
      <c r="M19" s="52"/>
      <c r="N19" s="52"/>
      <c r="O19" s="52"/>
      <c r="P19" s="52"/>
      <c r="Q19" s="52"/>
      <c r="R19" s="51"/>
      <c r="S19" s="51"/>
      <c r="T19" s="51"/>
      <c r="U19" s="51"/>
      <c r="V19" s="51"/>
      <c r="W19" s="51"/>
      <c r="X19" s="51"/>
      <c r="Y19" s="49"/>
    </row>
    <row r="20" spans="1:25">
      <c r="A20" s="49"/>
      <c r="B20" s="49"/>
      <c r="C20" s="49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49"/>
    </row>
    <row r="21" spans="1:25" ht="15.75" customHeight="1">
      <c r="A21" s="49"/>
      <c r="B21" s="49"/>
      <c r="C21" s="49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49"/>
    </row>
    <row r="22" spans="1:25" ht="15.75" customHeight="1">
      <c r="A22" s="49"/>
      <c r="B22" s="49"/>
      <c r="C22" s="49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49"/>
    </row>
    <row r="23" spans="1:25" ht="15.75" customHeight="1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</row>
    <row r="24" spans="1:25" ht="15.75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</row>
    <row r="25" spans="1:25" ht="15.75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</row>
    <row r="26" spans="1:25" ht="15.75" customHeigh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5" ht="15.75" customHeight="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</row>
    <row r="28" spans="1:25" ht="15.75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</row>
    <row r="29" spans="1:25" ht="15.75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ht="15.75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</row>
    <row r="31" spans="1:25" ht="15.75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15.75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25" ht="15.75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</row>
    <row r="34" spans="1:25" ht="15.75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</row>
    <row r="35" spans="1:25" ht="15.75" customHeight="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</row>
    <row r="36" spans="1:25" ht="15.75" customHeight="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</row>
    <row r="37" spans="1:25" ht="15.75" customHeight="1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</row>
    <row r="38" spans="1:25" ht="15.75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</row>
    <row r="39" spans="1:25" ht="15.75" customHeight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</row>
    <row r="40" spans="1:25" ht="15.75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</row>
    <row r="41" spans="1:25" ht="15.75" customHeight="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</row>
    <row r="42" spans="1:25" ht="15.75" customHeight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</row>
    <row r="43" spans="1:25" ht="15.75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</row>
    <row r="44" spans="1:25" ht="15.75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</row>
    <row r="45" spans="1:25" ht="15.75" customHeigh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</row>
    <row r="46" spans="1:25" ht="15.75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</row>
    <row r="47" spans="1:25" ht="15.75" customHeigh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</row>
    <row r="48" spans="1:25" ht="15.75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</row>
    <row r="49" spans="1:25" ht="15.75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</row>
    <row r="50" spans="1:25" ht="15.75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</row>
    <row r="51" spans="1:25" ht="15.75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</row>
    <row r="52" spans="1:25" ht="15.75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</row>
    <row r="53" spans="1:25" ht="15.75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</row>
    <row r="54" spans="1:25" ht="15.75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</row>
    <row r="55" spans="1:25" ht="15.75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</row>
    <row r="56" spans="1:25" ht="15.75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</row>
    <row r="57" spans="1:25" ht="15.75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</row>
    <row r="58" spans="1:25" ht="15.75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</row>
    <row r="59" spans="1:25" ht="15.75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</row>
    <row r="60" spans="1:25" ht="15.75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</row>
    <row r="61" spans="1:25" ht="15.75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</row>
    <row r="62" spans="1:25" ht="15.75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</row>
    <row r="63" spans="1:25" ht="15.75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</row>
    <row r="64" spans="1:25" ht="15.75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</row>
    <row r="65" spans="1:25" ht="15.75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</row>
    <row r="66" spans="1:25" ht="15.75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</row>
    <row r="67" spans="1:25" ht="15.75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</row>
    <row r="68" spans="1:25" ht="15.75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</row>
    <row r="69" spans="1:25" ht="15.75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</row>
    <row r="70" spans="1:25" ht="15.75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</row>
    <row r="71" spans="1:25" ht="15.75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</row>
    <row r="72" spans="1:25" ht="15.75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</row>
    <row r="73" spans="1:25" ht="15.75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</row>
    <row r="74" spans="1:25" ht="15.75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</row>
    <row r="75" spans="1:25" ht="15.75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</row>
    <row r="76" spans="1:25" ht="15.75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</row>
    <row r="77" spans="1:25" ht="15.75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</row>
    <row r="78" spans="1:25" ht="15.75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</row>
    <row r="79" spans="1:25" ht="15.75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</row>
    <row r="80" spans="1:25" ht="15.7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</row>
    <row r="81" spans="1:25" ht="15.75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</row>
    <row r="82" spans="1:25" ht="15.75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</row>
    <row r="83" spans="1:25" ht="15.75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</row>
    <row r="84" spans="1:25" ht="15.75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</row>
    <row r="85" spans="1:25" ht="15.75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</row>
    <row r="86" spans="1:25" ht="15.75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</row>
    <row r="87" spans="1:25" ht="15.75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</row>
    <row r="88" spans="1:25" ht="15.75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</row>
    <row r="89" spans="1:25" ht="15.75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</row>
    <row r="90" spans="1:25" ht="15.75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</row>
    <row r="91" spans="1:25" ht="15.75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</row>
    <row r="92" spans="1:25" ht="15.75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</row>
    <row r="93" spans="1:25" ht="15.75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</row>
    <row r="94" spans="1:25" ht="15.75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</row>
    <row r="95" spans="1:25" ht="15.75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</row>
    <row r="96" spans="1:25" ht="15.75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</row>
    <row r="97" spans="1:25" ht="15.75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</row>
    <row r="98" spans="1:25" ht="15.75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</row>
    <row r="99" spans="1:25" ht="15.75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</row>
    <row r="100" spans="1:25" ht="15.75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</row>
    <row r="101" spans="1:25" ht="15.75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</row>
    <row r="102" spans="1:25" ht="15.75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</row>
    <row r="103" spans="1:25" ht="15.75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</row>
    <row r="104" spans="1:25" ht="15.75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</row>
    <row r="105" spans="1:25" ht="15.75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</row>
    <row r="106" spans="1:25" ht="15.75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</row>
    <row r="107" spans="1:25" ht="15.75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</row>
    <row r="108" spans="1:25" ht="15.75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</row>
    <row r="109" spans="1:25" ht="15.75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</row>
    <row r="110" spans="1:25" ht="15.75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</row>
    <row r="111" spans="1:25" ht="15.75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</row>
    <row r="112" spans="1:25" ht="15.75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</row>
    <row r="113" spans="1:25" ht="15.75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</row>
    <row r="114" spans="1:25" ht="15.75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</row>
    <row r="115" spans="1:25" ht="15.75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</row>
    <row r="116" spans="1:25" ht="15.75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</row>
    <row r="117" spans="1:25" ht="15.75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</row>
    <row r="118" spans="1:25" ht="15.75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</row>
    <row r="119" spans="1:25" ht="15.75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</row>
    <row r="120" spans="1:25" ht="15.75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</row>
    <row r="121" spans="1:25" ht="15.75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</row>
    <row r="122" spans="1:25" ht="15.75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</row>
    <row r="123" spans="1:25" ht="15.75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</row>
    <row r="124" spans="1:25" ht="15.75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</row>
    <row r="125" spans="1:25" ht="15.75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</row>
    <row r="126" spans="1:25" ht="15.75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</row>
    <row r="127" spans="1:25" ht="15.75" customHeight="1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</row>
    <row r="128" spans="1:25" ht="15.75" customHeight="1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</row>
    <row r="129" spans="1:25" ht="15.75" customHeight="1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</row>
    <row r="130" spans="1:25" ht="15.75" customHeight="1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</row>
    <row r="131" spans="1:25" ht="15.75" customHeight="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</row>
    <row r="132" spans="1:25" ht="15.75" customHeight="1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</row>
    <row r="133" spans="1:25" ht="15.75" customHeight="1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</row>
    <row r="134" spans="1:25" ht="15.75" customHeight="1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</row>
    <row r="135" spans="1:25" ht="15.75" customHeight="1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</row>
    <row r="136" spans="1:25" ht="15.75" customHeight="1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</row>
    <row r="137" spans="1:25" ht="15.75" customHeight="1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</row>
    <row r="138" spans="1:25" ht="15.75" customHeight="1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</row>
    <row r="139" spans="1:25" ht="15.75" customHeight="1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</row>
    <row r="140" spans="1:25" ht="15.75" customHeight="1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</row>
    <row r="141" spans="1:25" ht="15.75" customHeight="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</row>
    <row r="142" spans="1:25" ht="15.75" customHeight="1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</row>
    <row r="143" spans="1:25" ht="15.75" customHeight="1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</row>
    <row r="144" spans="1:25" ht="15.75" customHeight="1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</row>
    <row r="145" spans="1:25" ht="15.75" customHeight="1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</row>
    <row r="146" spans="1:25" ht="15.75" customHeight="1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</row>
    <row r="147" spans="1:25" ht="15.75" customHeight="1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</row>
    <row r="148" spans="1:25" ht="15.75" customHeight="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</row>
    <row r="149" spans="1:25" ht="15.75" customHeight="1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</row>
    <row r="150" spans="1:25" ht="15.75" customHeight="1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</row>
    <row r="151" spans="1:25" ht="15.75" customHeight="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</row>
    <row r="152" spans="1:25" ht="15.75" customHeight="1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</row>
    <row r="153" spans="1:25" ht="15.75" customHeight="1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</row>
    <row r="154" spans="1:25" ht="15.75" customHeight="1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</row>
    <row r="155" spans="1:25" ht="15.75" customHeight="1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</row>
    <row r="156" spans="1:25" ht="15.75" customHeight="1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</row>
    <row r="157" spans="1:25" ht="15.75" customHeight="1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</row>
    <row r="158" spans="1:25" ht="15.75" customHeight="1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</row>
    <row r="159" spans="1:25" ht="15.75" customHeight="1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</row>
    <row r="160" spans="1:25" ht="15.75" customHeight="1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</row>
    <row r="161" spans="1:25" ht="15.75" customHeight="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</row>
    <row r="162" spans="1:25" ht="15.75" customHeight="1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</row>
    <row r="163" spans="1:25" ht="15.75" customHeight="1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</row>
    <row r="164" spans="1:25" ht="15.75" customHeight="1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</row>
    <row r="165" spans="1:25" ht="15.75" customHeight="1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</row>
    <row r="166" spans="1:25" ht="15.75" customHeight="1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</row>
    <row r="167" spans="1:25" ht="15.75" customHeight="1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</row>
    <row r="168" spans="1:25" ht="15.75" customHeight="1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</row>
    <row r="169" spans="1:25" ht="15.75" customHeight="1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</row>
    <row r="170" spans="1:25" ht="15.75" customHeight="1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</row>
    <row r="171" spans="1:25" ht="15.75" customHeight="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</row>
    <row r="172" spans="1:25" ht="15.75" customHeight="1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</row>
    <row r="173" spans="1:25" ht="15.75" customHeight="1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</row>
    <row r="174" spans="1:25" ht="15.75" customHeight="1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</row>
    <row r="175" spans="1:25" ht="15.75" customHeight="1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</row>
    <row r="176" spans="1:25" ht="15.75" customHeight="1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</row>
    <row r="177" spans="1:25" ht="15.75" customHeight="1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</row>
    <row r="178" spans="1:25" ht="15.75" customHeight="1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</row>
    <row r="179" spans="1:25" ht="15.75" customHeight="1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</row>
    <row r="180" spans="1:25" ht="15.75" customHeight="1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</row>
    <row r="181" spans="1:25" ht="15.75" customHeight="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</row>
    <row r="182" spans="1:25" ht="15.75" customHeight="1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</row>
    <row r="183" spans="1:25" ht="15.75" customHeight="1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</row>
    <row r="184" spans="1:25" ht="15.75" customHeight="1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</row>
    <row r="185" spans="1:25" ht="15.75" customHeight="1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</row>
    <row r="186" spans="1:25" ht="15.75" customHeight="1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</row>
    <row r="187" spans="1:25" ht="15.75" customHeight="1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</row>
    <row r="188" spans="1:25" ht="15.75" customHeight="1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</row>
    <row r="189" spans="1:25" ht="15.75" customHeight="1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</row>
    <row r="190" spans="1:25" ht="15.75" customHeight="1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</row>
    <row r="191" spans="1:25" ht="15.75" customHeight="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</row>
    <row r="192" spans="1:25" ht="15.75" customHeight="1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</row>
    <row r="193" spans="1:25" ht="15.75" customHeight="1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</row>
    <row r="194" spans="1:25" ht="15.75" customHeight="1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</row>
    <row r="195" spans="1:25" ht="15.75" customHeight="1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</row>
    <row r="196" spans="1:25" ht="15.75" customHeight="1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</row>
    <row r="197" spans="1:25" ht="15.75" customHeight="1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</row>
    <row r="198" spans="1:25" ht="15.75" customHeight="1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</row>
    <row r="199" spans="1:25" ht="15.75" customHeight="1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</row>
    <row r="200" spans="1:25" ht="15.75" customHeight="1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</row>
    <row r="201" spans="1:25" ht="15.75" customHeight="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</row>
    <row r="202" spans="1:25" ht="15.75" customHeight="1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</row>
    <row r="203" spans="1:25" ht="15.75" customHeight="1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</row>
    <row r="204" spans="1:25" ht="15.75" customHeight="1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</row>
    <row r="205" spans="1:25" ht="15.75" customHeight="1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</row>
    <row r="206" spans="1:25" ht="15.75" customHeight="1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</row>
    <row r="207" spans="1:25" ht="15.75" customHeight="1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</row>
    <row r="208" spans="1:25" ht="15.75" customHeight="1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</row>
    <row r="209" spans="1:25" ht="15.75" customHeight="1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</row>
    <row r="210" spans="1:25" ht="15.75" customHeight="1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</row>
    <row r="211" spans="1:25" ht="15.75" customHeight="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</row>
    <row r="212" spans="1:25" ht="15.75" customHeight="1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</row>
    <row r="213" spans="1:25" ht="15.75" customHeight="1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</row>
    <row r="214" spans="1:25" ht="15.75" customHeight="1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</row>
    <row r="215" spans="1:25" ht="15.75" customHeight="1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</row>
    <row r="216" spans="1:25" ht="15.75" customHeight="1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</row>
    <row r="217" spans="1:25" ht="15.75" customHeight="1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</row>
    <row r="218" spans="1:25" ht="15.75" customHeight="1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</row>
    <row r="219" spans="1:25" ht="15.75" customHeight="1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</row>
    <row r="220" spans="1:25" ht="15.75" customHeight="1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</row>
    <row r="221" spans="1:25" ht="15.75" customHeight="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</row>
    <row r="222" spans="1:25" ht="15.75" customHeight="1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</row>
    <row r="223" spans="1:25" ht="15.75" customHeight="1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</row>
    <row r="224" spans="1:25" ht="15.75" customHeight="1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</row>
    <row r="225" spans="1:25" ht="15.75" customHeight="1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</row>
    <row r="226" spans="1:25" ht="15.75" customHeight="1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</row>
    <row r="227" spans="1:25" ht="15.75" customHeight="1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</row>
    <row r="228" spans="1:25" ht="15.75" customHeight="1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</row>
    <row r="229" spans="1:25" ht="15.75" customHeight="1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</row>
    <row r="230" spans="1:25" ht="15.75" customHeight="1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</row>
    <row r="231" spans="1:25" ht="15.75" customHeight="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</row>
    <row r="232" spans="1:25" ht="15.75" customHeight="1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</row>
    <row r="233" spans="1:25" ht="15.75" customHeight="1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</row>
    <row r="234" spans="1:25" ht="15.75" customHeight="1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</row>
    <row r="235" spans="1:25" ht="15.75" customHeight="1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</row>
    <row r="236" spans="1:25" ht="15.75" customHeight="1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</row>
    <row r="237" spans="1:25" ht="15.75" customHeight="1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</row>
    <row r="238" spans="1:25" ht="15.75" customHeight="1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</row>
    <row r="239" spans="1:25" ht="15.75" customHeight="1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</row>
    <row r="240" spans="1:25" ht="15.75" customHeight="1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</row>
    <row r="241" spans="1:25" ht="15.75" customHeight="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</row>
    <row r="242" spans="1:25" ht="15.75" customHeight="1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</row>
    <row r="243" spans="1:25" ht="15.75" customHeight="1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</row>
    <row r="244" spans="1:25" ht="15.75" customHeight="1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</row>
    <row r="245" spans="1:25" ht="15.75" customHeight="1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</row>
    <row r="246" spans="1:25" ht="15.75" customHeight="1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</row>
    <row r="247" spans="1:25" ht="15.75" customHeight="1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</row>
    <row r="248" spans="1:25" ht="15.75" customHeight="1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</row>
    <row r="249" spans="1:25" ht="15.75" customHeight="1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</row>
    <row r="250" spans="1:25" ht="15.75" customHeight="1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</row>
    <row r="251" spans="1:25" ht="15.75" customHeight="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</row>
    <row r="252" spans="1:25" ht="15.75" customHeight="1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</row>
    <row r="253" spans="1:25" ht="15.75" customHeight="1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</row>
    <row r="254" spans="1:25" ht="15.75" customHeight="1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</row>
    <row r="255" spans="1:25" ht="15.75" customHeight="1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</row>
    <row r="256" spans="1:25" ht="15.75" customHeight="1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</row>
    <row r="257" spans="1:25" ht="15.75" customHeight="1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</row>
    <row r="258" spans="1:25" ht="15.75" customHeight="1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</row>
    <row r="259" spans="1:25" ht="15.75" customHeight="1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</row>
    <row r="260" spans="1:25" ht="15.75" customHeight="1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</row>
    <row r="261" spans="1:25" ht="15.75" customHeight="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</row>
    <row r="262" spans="1:25" ht="15.75" customHeight="1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</row>
    <row r="263" spans="1:25" ht="15.75" customHeight="1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</row>
    <row r="264" spans="1:25" ht="15.75" customHeight="1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</row>
    <row r="265" spans="1:25" ht="15.75" customHeight="1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</row>
    <row r="266" spans="1:25" ht="15.75" customHeight="1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</row>
    <row r="267" spans="1:25" ht="15.75" customHeight="1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</row>
    <row r="268" spans="1:25" ht="15.75" customHeight="1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</row>
    <row r="269" spans="1:25" ht="15.75" customHeight="1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</row>
    <row r="270" spans="1:25" ht="15.75" customHeight="1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</row>
    <row r="271" spans="1:25" ht="15.75" customHeight="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</row>
    <row r="272" spans="1:25" ht="15.75" customHeight="1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</row>
    <row r="273" spans="1:25" ht="15.75" customHeight="1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</row>
    <row r="274" spans="1:25" ht="15.75" customHeight="1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</row>
    <row r="275" spans="1:25" ht="15.75" customHeight="1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</row>
    <row r="276" spans="1:25" ht="15.75" customHeight="1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</row>
    <row r="277" spans="1:25" ht="15.75" customHeight="1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</row>
    <row r="278" spans="1:25" ht="15.75" customHeight="1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</row>
    <row r="279" spans="1:25" ht="15.75" customHeight="1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</row>
    <row r="280" spans="1:25" ht="15.75" customHeight="1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</row>
    <row r="281" spans="1:25" ht="15.75" customHeight="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</row>
    <row r="282" spans="1:25" ht="15.75" customHeight="1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</row>
    <row r="283" spans="1:25" ht="15.75" customHeight="1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</row>
    <row r="284" spans="1:25" ht="15.75" customHeight="1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</row>
    <row r="285" spans="1:25" ht="15.75" customHeight="1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</row>
    <row r="286" spans="1:25" ht="15.75" customHeight="1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</row>
    <row r="287" spans="1:25" ht="15.75" customHeight="1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</row>
    <row r="288" spans="1:25" ht="15.75" customHeight="1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</row>
    <row r="289" spans="1:25" ht="15.75" customHeight="1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</row>
    <row r="290" spans="1:25" ht="15.75" customHeight="1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</row>
    <row r="291" spans="1:25" ht="15.75" customHeight="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</row>
    <row r="292" spans="1:25" ht="15.75" customHeight="1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</row>
    <row r="293" spans="1:25" ht="15.75" customHeight="1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</row>
    <row r="294" spans="1:25" ht="15.75" customHeight="1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</row>
    <row r="295" spans="1:25" ht="15.75" customHeight="1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</row>
    <row r="296" spans="1:25" ht="15.75" customHeight="1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</row>
    <row r="297" spans="1:25" ht="15.75" customHeight="1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</row>
    <row r="298" spans="1:25" ht="15.75" customHeight="1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</row>
    <row r="299" spans="1:25" ht="15.75" customHeight="1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</row>
    <row r="300" spans="1:25" ht="15.75" customHeight="1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</row>
    <row r="301" spans="1:25" ht="15.75" customHeight="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</row>
    <row r="302" spans="1:25" ht="15.75" customHeight="1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</row>
    <row r="303" spans="1:25" ht="15.75" customHeight="1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</row>
    <row r="304" spans="1:25" ht="15.75" customHeight="1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</row>
    <row r="305" spans="1:25" ht="15.75" customHeight="1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</row>
    <row r="306" spans="1:25" ht="15.75" customHeight="1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</row>
    <row r="307" spans="1:25" ht="15.75" customHeight="1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</row>
    <row r="308" spans="1:25" ht="15.75" customHeight="1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</row>
    <row r="309" spans="1:25" ht="15.75" customHeight="1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</row>
    <row r="310" spans="1:25" ht="15.75" customHeight="1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</row>
    <row r="311" spans="1:25" ht="15.75" customHeight="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</row>
    <row r="312" spans="1:25" ht="15.75" customHeight="1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</row>
    <row r="313" spans="1:25" ht="15.75" customHeight="1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</row>
    <row r="314" spans="1:25" ht="15.75" customHeight="1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</row>
    <row r="315" spans="1:25" ht="15.75" customHeight="1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</row>
    <row r="316" spans="1:25" ht="15.75" customHeight="1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</row>
    <row r="317" spans="1:25" ht="15.75" customHeight="1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</row>
    <row r="318" spans="1:25" ht="15.75" customHeight="1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</row>
    <row r="319" spans="1:25" ht="15.75" customHeight="1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</row>
    <row r="320" spans="1:25" ht="15.75" customHeight="1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</row>
    <row r="321" spans="1:25" ht="15.75" customHeight="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</row>
    <row r="322" spans="1:25" ht="15.75" customHeight="1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</row>
    <row r="323" spans="1:25" ht="15.75" customHeight="1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</row>
    <row r="324" spans="1:25" ht="15.75" customHeight="1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</row>
    <row r="325" spans="1:25" ht="15.75" customHeight="1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</row>
    <row r="326" spans="1:25" ht="15.75" customHeight="1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</row>
    <row r="327" spans="1:25" ht="15.75" customHeight="1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</row>
    <row r="328" spans="1:25" ht="15.75" customHeight="1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</row>
    <row r="329" spans="1:25" ht="15.75" customHeight="1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</row>
    <row r="330" spans="1:25" ht="15.75" customHeight="1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</row>
    <row r="331" spans="1:25" ht="15.75" customHeight="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</row>
    <row r="332" spans="1:25" ht="15.75" customHeight="1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</row>
    <row r="333" spans="1:25" ht="15.75" customHeight="1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</row>
    <row r="334" spans="1:25" ht="15.75" customHeight="1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</row>
    <row r="335" spans="1:25" ht="15.75" customHeight="1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</row>
    <row r="336" spans="1:25" ht="15.75" customHeight="1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</row>
    <row r="337" spans="1:25" ht="15.75" customHeight="1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</row>
    <row r="338" spans="1:25" ht="15.75" customHeight="1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</row>
    <row r="339" spans="1:25" ht="15.75" customHeight="1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</row>
    <row r="340" spans="1:25" ht="15.75" customHeight="1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</row>
    <row r="341" spans="1:25" ht="15.75" customHeight="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</row>
    <row r="342" spans="1:25" ht="15.75" customHeight="1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</row>
    <row r="343" spans="1:25" ht="15.75" customHeight="1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</row>
    <row r="344" spans="1:25" ht="15.75" customHeight="1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</row>
    <row r="345" spans="1:25" ht="15.75" customHeight="1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</row>
    <row r="346" spans="1:25" ht="15.75" customHeight="1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</row>
    <row r="347" spans="1:25" ht="15.75" customHeight="1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</row>
    <row r="348" spans="1:25" ht="15.75" customHeight="1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</row>
    <row r="349" spans="1:25" ht="15.75" customHeight="1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</row>
    <row r="350" spans="1:25" ht="15.75" customHeight="1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</row>
    <row r="351" spans="1:25" ht="15.75" customHeight="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</row>
    <row r="352" spans="1:25" ht="15.75" customHeight="1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</row>
    <row r="353" spans="1:25" ht="15.75" customHeight="1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</row>
    <row r="354" spans="1:25" ht="15.75" customHeight="1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</row>
    <row r="355" spans="1:25" ht="15.75" customHeight="1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</row>
    <row r="356" spans="1:25" ht="15.75" customHeight="1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</row>
    <row r="357" spans="1:25" ht="15.75" customHeight="1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</row>
    <row r="358" spans="1:25" ht="15.75" customHeight="1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</row>
    <row r="359" spans="1:25" ht="15.75" customHeight="1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</row>
    <row r="360" spans="1:25" ht="15.75" customHeight="1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</row>
    <row r="361" spans="1:25" ht="15.75" customHeight="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</row>
    <row r="362" spans="1:25" ht="15.75" customHeight="1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</row>
    <row r="363" spans="1:25" ht="15.75" customHeight="1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</row>
    <row r="364" spans="1:25" ht="15.75" customHeight="1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</row>
    <row r="365" spans="1:25" ht="15.75" customHeight="1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</row>
    <row r="366" spans="1:25" ht="15.75" customHeight="1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</row>
    <row r="367" spans="1:25" ht="15.75" customHeight="1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</row>
    <row r="368" spans="1:25" ht="15.75" customHeight="1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</row>
    <row r="369" spans="1:25" ht="15.75" customHeight="1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</row>
    <row r="370" spans="1:25" ht="15.75" customHeight="1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</row>
    <row r="371" spans="1:25" ht="15.75" customHeight="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</row>
    <row r="372" spans="1:25" ht="15.75" customHeight="1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</row>
    <row r="373" spans="1:25" ht="15.75" customHeight="1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</row>
    <row r="374" spans="1:25" ht="15.75" customHeight="1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</row>
    <row r="375" spans="1:25" ht="15.75" customHeight="1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</row>
    <row r="376" spans="1:25" ht="15.75" customHeight="1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</row>
    <row r="377" spans="1:25" ht="15.75" customHeight="1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</row>
    <row r="378" spans="1:25" ht="15.75" customHeight="1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</row>
    <row r="379" spans="1:25" ht="15.75" customHeight="1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</row>
    <row r="380" spans="1:25" ht="15.75" customHeight="1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</row>
    <row r="381" spans="1:25" ht="15.75" customHeight="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</row>
    <row r="382" spans="1:25" ht="15.75" customHeight="1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</row>
    <row r="383" spans="1:25" ht="15.75" customHeight="1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</row>
    <row r="384" spans="1:25" ht="15.75" customHeight="1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</row>
    <row r="385" spans="1:25" ht="15.75" customHeight="1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</row>
    <row r="386" spans="1:25" ht="15.75" customHeight="1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</row>
    <row r="387" spans="1:25" ht="15.75" customHeight="1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</row>
    <row r="388" spans="1:25" ht="15.75" customHeight="1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</row>
    <row r="389" spans="1:25" ht="15.75" customHeight="1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</row>
    <row r="390" spans="1:25" ht="15.75" customHeight="1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</row>
    <row r="391" spans="1:25" ht="15.75" customHeight="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</row>
    <row r="392" spans="1:25" ht="15.75" customHeight="1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</row>
    <row r="393" spans="1:25" ht="15.75" customHeight="1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</row>
    <row r="394" spans="1:25" ht="15.75" customHeight="1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</row>
    <row r="395" spans="1:25" ht="15.75" customHeight="1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</row>
    <row r="396" spans="1:25" ht="15.75" customHeight="1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</row>
    <row r="397" spans="1:25" ht="15.75" customHeight="1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</row>
    <row r="398" spans="1:25" ht="15.75" customHeight="1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</row>
    <row r="399" spans="1:25" ht="15.75" customHeight="1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</row>
    <row r="400" spans="1:25" ht="15.75" customHeight="1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</row>
    <row r="401" spans="1:25" ht="15.75" customHeight="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</row>
    <row r="402" spans="1:25" ht="15.75" customHeight="1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</row>
    <row r="403" spans="1:25" ht="15.75" customHeight="1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</row>
    <row r="404" spans="1:25" ht="15.75" customHeight="1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</row>
    <row r="405" spans="1:25" ht="15.75" customHeight="1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</row>
    <row r="406" spans="1:25" ht="15.75" customHeight="1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</row>
    <row r="407" spans="1:25" ht="15.75" customHeight="1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</row>
    <row r="408" spans="1:25" ht="15.75" customHeight="1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</row>
    <row r="409" spans="1:25" ht="15.75" customHeight="1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</row>
    <row r="410" spans="1:25" ht="15.75" customHeight="1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</row>
    <row r="411" spans="1:25" ht="15.75" customHeight="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</row>
    <row r="412" spans="1:25" ht="15.75" customHeight="1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</row>
    <row r="413" spans="1:25" ht="15.75" customHeight="1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</row>
    <row r="414" spans="1:25" ht="15.75" customHeight="1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</row>
    <row r="415" spans="1:25" ht="15.75" customHeight="1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</row>
    <row r="416" spans="1:25" ht="15.75" customHeight="1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</row>
    <row r="417" spans="1:25" ht="15.75" customHeight="1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</row>
    <row r="418" spans="1:25" ht="15.75" customHeight="1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</row>
    <row r="419" spans="1:25" ht="15.75" customHeight="1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</row>
    <row r="420" spans="1:25" ht="15.75" customHeight="1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</row>
    <row r="421" spans="1:25" ht="15.75" customHeight="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</row>
    <row r="422" spans="1:25" ht="15.75" customHeight="1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</row>
    <row r="423" spans="1:25" ht="15.75" customHeight="1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</row>
    <row r="424" spans="1:25" ht="15.75" customHeight="1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</row>
    <row r="425" spans="1:25" ht="15.75" customHeight="1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</row>
    <row r="426" spans="1:25" ht="15.75" customHeight="1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</row>
    <row r="427" spans="1:25" ht="15.75" customHeight="1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</row>
    <row r="428" spans="1:25" ht="15.75" customHeight="1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</row>
    <row r="429" spans="1:25" ht="15.75" customHeight="1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</row>
    <row r="430" spans="1:25" ht="15.75" customHeight="1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</row>
    <row r="431" spans="1:25" ht="15.75" customHeight="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</row>
    <row r="432" spans="1:25" ht="15.75" customHeight="1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</row>
    <row r="433" spans="1:25" ht="15.75" customHeight="1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</row>
    <row r="434" spans="1:25" ht="15.75" customHeight="1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</row>
    <row r="435" spans="1:25" ht="15.75" customHeight="1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</row>
    <row r="436" spans="1:25" ht="15.75" customHeight="1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</row>
    <row r="437" spans="1:25" ht="15.75" customHeight="1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</row>
    <row r="438" spans="1:25" ht="15.75" customHeight="1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</row>
    <row r="439" spans="1:25" ht="15.75" customHeight="1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</row>
    <row r="440" spans="1:25" ht="15.75" customHeight="1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</row>
    <row r="441" spans="1:25" ht="15.75" customHeight="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</row>
    <row r="442" spans="1:25" ht="15.75" customHeight="1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</row>
    <row r="443" spans="1:25" ht="15.75" customHeight="1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</row>
    <row r="444" spans="1:25" ht="15.75" customHeight="1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</row>
    <row r="445" spans="1:25" ht="15.75" customHeight="1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</row>
    <row r="446" spans="1:25" ht="15.75" customHeight="1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</row>
    <row r="447" spans="1:25" ht="15.75" customHeight="1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</row>
    <row r="448" spans="1:25" ht="15.75" customHeight="1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</row>
    <row r="449" spans="1:25" ht="15.75" customHeight="1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</row>
    <row r="450" spans="1:25" ht="15.75" customHeight="1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</row>
    <row r="451" spans="1:25" ht="15.75" customHeight="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</row>
    <row r="452" spans="1:25" ht="15.75" customHeight="1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</row>
    <row r="453" spans="1:25" ht="15.75" customHeight="1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</row>
    <row r="454" spans="1:25" ht="15.75" customHeight="1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</row>
    <row r="455" spans="1:25" ht="15.75" customHeight="1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</row>
    <row r="456" spans="1:25" ht="15.75" customHeight="1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</row>
    <row r="457" spans="1:25" ht="15.75" customHeight="1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</row>
    <row r="458" spans="1:25" ht="15.75" customHeight="1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</row>
    <row r="459" spans="1:25" ht="15.75" customHeight="1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</row>
    <row r="460" spans="1:25" ht="15.75" customHeight="1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</row>
    <row r="461" spans="1:25" ht="15.75" customHeight="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</row>
    <row r="462" spans="1:25" ht="15.75" customHeight="1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</row>
    <row r="463" spans="1:25" ht="15.75" customHeight="1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</row>
    <row r="464" spans="1:25" ht="15.75" customHeight="1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</row>
    <row r="465" spans="1:25" ht="15.75" customHeight="1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</row>
    <row r="466" spans="1:25" ht="15.75" customHeight="1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</row>
    <row r="467" spans="1:25" ht="15.75" customHeight="1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</row>
    <row r="468" spans="1:25" ht="15.75" customHeight="1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</row>
    <row r="469" spans="1:25" ht="15.75" customHeight="1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</row>
    <row r="470" spans="1:25" ht="15.75" customHeight="1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</row>
    <row r="471" spans="1:25" ht="15.75" customHeight="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</row>
    <row r="472" spans="1:25" ht="15.75" customHeight="1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</row>
    <row r="473" spans="1:25" ht="15.75" customHeight="1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</row>
    <row r="474" spans="1:25" ht="15.75" customHeight="1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</row>
    <row r="475" spans="1:25" ht="15.75" customHeight="1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</row>
    <row r="476" spans="1:25" ht="15.75" customHeight="1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</row>
    <row r="477" spans="1:25" ht="15.75" customHeight="1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</row>
    <row r="478" spans="1:25" ht="15.75" customHeight="1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</row>
    <row r="479" spans="1:25" ht="15.75" customHeight="1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</row>
    <row r="480" spans="1:25" ht="15.75" customHeight="1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</row>
    <row r="481" spans="1:25" ht="15.75" customHeight="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</row>
    <row r="482" spans="1:25" ht="15.75" customHeight="1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</row>
    <row r="483" spans="1:25" ht="15.75" customHeight="1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</row>
    <row r="484" spans="1:25" ht="15.75" customHeight="1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</row>
    <row r="485" spans="1:25" ht="15.75" customHeight="1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</row>
    <row r="486" spans="1:25" ht="15.75" customHeight="1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</row>
    <row r="487" spans="1:25" ht="15.75" customHeight="1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</row>
    <row r="488" spans="1:25" ht="15.75" customHeight="1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</row>
    <row r="489" spans="1:25" ht="15.75" customHeight="1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</row>
    <row r="490" spans="1:25" ht="15.75" customHeight="1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</row>
    <row r="491" spans="1:25" ht="15.75" customHeight="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</row>
    <row r="492" spans="1:25" ht="15.75" customHeight="1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</row>
    <row r="493" spans="1:25" ht="15.75" customHeight="1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</row>
    <row r="494" spans="1:25" ht="15.75" customHeight="1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</row>
    <row r="495" spans="1:25" ht="15.75" customHeight="1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</row>
    <row r="496" spans="1:25" ht="15.75" customHeight="1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</row>
    <row r="497" spans="1:25" ht="15.75" customHeight="1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</row>
    <row r="498" spans="1:25" ht="15.75" customHeight="1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</row>
    <row r="499" spans="1:25" ht="15.75" customHeight="1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</row>
    <row r="500" spans="1:25" ht="15.75" customHeight="1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</row>
    <row r="501" spans="1:25" ht="15.75" customHeight="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</row>
    <row r="502" spans="1:25" ht="15.75" customHeight="1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</row>
    <row r="503" spans="1:25" ht="15.75" customHeight="1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</row>
    <row r="504" spans="1:25" ht="15.75" customHeight="1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</row>
    <row r="505" spans="1:25" ht="15.75" customHeight="1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</row>
    <row r="506" spans="1:25" ht="15.75" customHeight="1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</row>
    <row r="507" spans="1:25" ht="15.75" customHeight="1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</row>
    <row r="508" spans="1:25" ht="15.75" customHeight="1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</row>
    <row r="509" spans="1:25" ht="15.75" customHeight="1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</row>
    <row r="510" spans="1:25" ht="15.75" customHeight="1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</row>
    <row r="511" spans="1:25" ht="15.75" customHeight="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</row>
    <row r="512" spans="1:25" ht="15.75" customHeight="1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</row>
    <row r="513" spans="1:25" ht="15.75" customHeight="1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</row>
    <row r="514" spans="1:25" ht="15.75" customHeight="1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</row>
    <row r="515" spans="1:25" ht="15.75" customHeight="1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</row>
    <row r="516" spans="1:25" ht="15.75" customHeight="1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</row>
    <row r="517" spans="1:25" ht="15.75" customHeight="1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</row>
    <row r="518" spans="1:25" ht="15.75" customHeight="1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</row>
    <row r="519" spans="1:25" ht="15.75" customHeight="1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</row>
    <row r="520" spans="1:25" ht="15.75" customHeight="1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</row>
    <row r="521" spans="1:25" ht="15.75" customHeight="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</row>
    <row r="522" spans="1:25" ht="15.75" customHeight="1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</row>
    <row r="523" spans="1:25" ht="15.75" customHeight="1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</row>
    <row r="524" spans="1:25" ht="15.75" customHeight="1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</row>
    <row r="525" spans="1:25" ht="15.75" customHeight="1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</row>
    <row r="526" spans="1:25" ht="15.75" customHeight="1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</row>
    <row r="527" spans="1:25" ht="15.75" customHeight="1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</row>
    <row r="528" spans="1:25" ht="15.75" customHeight="1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</row>
    <row r="529" spans="1:25" ht="15.75" customHeight="1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</row>
    <row r="530" spans="1:25" ht="15.75" customHeight="1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</row>
    <row r="531" spans="1:25" ht="15.75" customHeight="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</row>
    <row r="532" spans="1:25" ht="15.75" customHeight="1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</row>
    <row r="533" spans="1:25" ht="15.75" customHeight="1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</row>
    <row r="534" spans="1:25" ht="15.75" customHeight="1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</row>
    <row r="535" spans="1:25" ht="15.75" customHeight="1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</row>
    <row r="536" spans="1:25" ht="15.75" customHeight="1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</row>
    <row r="537" spans="1:25" ht="15.75" customHeight="1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</row>
    <row r="538" spans="1:25" ht="15.75" customHeight="1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</row>
    <row r="539" spans="1:25" ht="15.75" customHeight="1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</row>
    <row r="540" spans="1:25" ht="15.75" customHeight="1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</row>
    <row r="541" spans="1:25" ht="15.75" customHeight="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</row>
    <row r="542" spans="1:25" ht="15.75" customHeight="1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</row>
    <row r="543" spans="1:25" ht="15.75" customHeight="1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</row>
    <row r="544" spans="1:25" ht="15.75" customHeight="1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</row>
    <row r="545" spans="1:25" ht="15.75" customHeight="1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</row>
    <row r="546" spans="1:25" ht="15.75" customHeight="1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</row>
    <row r="547" spans="1:25" ht="15.75" customHeight="1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</row>
    <row r="548" spans="1:25" ht="15.75" customHeight="1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</row>
    <row r="549" spans="1:25" ht="15.75" customHeight="1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</row>
    <row r="550" spans="1:25" ht="15.75" customHeight="1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</row>
    <row r="551" spans="1:25" ht="15.75" customHeight="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</row>
    <row r="552" spans="1:25" ht="15.75" customHeight="1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</row>
    <row r="553" spans="1:25" ht="15.75" customHeight="1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</row>
    <row r="554" spans="1:25" ht="15.75" customHeight="1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</row>
    <row r="555" spans="1:25" ht="15.75" customHeight="1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</row>
    <row r="556" spans="1:25" ht="15.75" customHeight="1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</row>
    <row r="557" spans="1:25" ht="15.75" customHeight="1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</row>
    <row r="558" spans="1:25" ht="15.75" customHeight="1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</row>
    <row r="559" spans="1:25" ht="15.75" customHeight="1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</row>
    <row r="560" spans="1:25" ht="15.75" customHeight="1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</row>
    <row r="561" spans="1:25" ht="15.75" customHeight="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</row>
    <row r="562" spans="1:25" ht="15.75" customHeight="1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</row>
    <row r="563" spans="1:25" ht="15.75" customHeight="1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</row>
    <row r="564" spans="1:25" ht="15.75" customHeight="1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</row>
    <row r="565" spans="1:25" ht="15.75" customHeight="1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</row>
    <row r="566" spans="1:25" ht="15.75" customHeight="1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</row>
    <row r="567" spans="1:25" ht="15.75" customHeight="1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</row>
    <row r="568" spans="1:25" ht="15.75" customHeight="1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</row>
    <row r="569" spans="1:25" ht="15.75" customHeight="1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</row>
    <row r="570" spans="1:25" ht="15.75" customHeight="1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</row>
    <row r="571" spans="1:25" ht="15.75" customHeight="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</row>
    <row r="572" spans="1:25" ht="15.75" customHeight="1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</row>
    <row r="573" spans="1:25" ht="15.75" customHeight="1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</row>
    <row r="574" spans="1:25" ht="15.75" customHeight="1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</row>
    <row r="575" spans="1:25" ht="15.75" customHeight="1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</row>
    <row r="576" spans="1:25" ht="15.75" customHeight="1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</row>
    <row r="577" spans="1:25" ht="15.75" customHeight="1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</row>
    <row r="578" spans="1:25" ht="15.75" customHeight="1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</row>
    <row r="579" spans="1:25" ht="15.75" customHeight="1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</row>
    <row r="580" spans="1:25" ht="15.75" customHeight="1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</row>
    <row r="581" spans="1:25" ht="15.75" customHeight="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</row>
    <row r="582" spans="1:25" ht="15.75" customHeight="1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</row>
    <row r="583" spans="1:25" ht="15.75" customHeight="1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</row>
    <row r="584" spans="1:25" ht="15.75" customHeight="1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</row>
    <row r="585" spans="1:25" ht="15.75" customHeight="1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</row>
    <row r="586" spans="1:25" ht="15.75" customHeight="1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</row>
    <row r="587" spans="1:25" ht="15.75" customHeight="1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</row>
    <row r="588" spans="1:25" ht="15.75" customHeight="1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</row>
    <row r="589" spans="1:25" ht="15.75" customHeight="1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</row>
    <row r="590" spans="1:25" ht="15.75" customHeight="1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</row>
    <row r="591" spans="1:25" ht="15.75" customHeight="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</row>
    <row r="592" spans="1:25" ht="15.75" customHeight="1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</row>
    <row r="593" spans="1:25" ht="15.75" customHeight="1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</row>
    <row r="594" spans="1:25" ht="15.75" customHeight="1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</row>
    <row r="595" spans="1:25" ht="15.75" customHeight="1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</row>
    <row r="596" spans="1:25" ht="15.75" customHeight="1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</row>
    <row r="597" spans="1:25" ht="15.75" customHeight="1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</row>
    <row r="598" spans="1:25" ht="15.75" customHeight="1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</row>
    <row r="599" spans="1:25" ht="15.75" customHeight="1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</row>
    <row r="600" spans="1:25" ht="15.75" customHeight="1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</row>
    <row r="601" spans="1:25" ht="15.75" customHeight="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</row>
    <row r="602" spans="1:25" ht="15.75" customHeight="1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</row>
    <row r="603" spans="1:25" ht="15.75" customHeight="1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</row>
    <row r="604" spans="1:25" ht="15.75" customHeight="1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</row>
    <row r="605" spans="1:25" ht="15.75" customHeight="1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</row>
    <row r="606" spans="1:25" ht="15.75" customHeight="1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</row>
    <row r="607" spans="1:25" ht="15.75" customHeight="1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</row>
    <row r="608" spans="1:25" ht="15.75" customHeight="1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</row>
    <row r="609" spans="1:25" ht="15.75" customHeight="1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</row>
    <row r="610" spans="1:25" ht="15.75" customHeight="1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</row>
    <row r="611" spans="1:25" ht="15.75" customHeight="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</row>
    <row r="612" spans="1:25" ht="15.75" customHeight="1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</row>
    <row r="613" spans="1:25" ht="15.75" customHeight="1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</row>
    <row r="614" spans="1:25" ht="15.75" customHeight="1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</row>
    <row r="615" spans="1:25" ht="15.75" customHeight="1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</row>
    <row r="616" spans="1:25" ht="15.75" customHeight="1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</row>
    <row r="617" spans="1:25" ht="15.75" customHeight="1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</row>
    <row r="618" spans="1:25" ht="15.75" customHeight="1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</row>
    <row r="619" spans="1:25" ht="15.75" customHeight="1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</row>
    <row r="620" spans="1:25" ht="15.75" customHeight="1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</row>
    <row r="621" spans="1:25" ht="15.75" customHeight="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</row>
    <row r="622" spans="1:25" ht="15.75" customHeight="1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</row>
    <row r="623" spans="1:25" ht="15.75" customHeight="1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</row>
    <row r="624" spans="1:25" ht="15.75" customHeight="1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</row>
    <row r="625" spans="1:25" ht="15.75" customHeight="1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</row>
    <row r="626" spans="1:25" ht="15.75" customHeight="1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</row>
    <row r="627" spans="1:25" ht="15.75" customHeight="1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</row>
    <row r="628" spans="1:25" ht="15.75" customHeight="1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</row>
    <row r="629" spans="1:25" ht="15.75" customHeight="1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</row>
    <row r="630" spans="1:25" ht="15.75" customHeight="1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</row>
    <row r="631" spans="1:25" ht="15.75" customHeight="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</row>
    <row r="632" spans="1:25" ht="15.75" customHeight="1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</row>
    <row r="633" spans="1:25" ht="15.75" customHeight="1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</row>
    <row r="634" spans="1:25" ht="15.75" customHeight="1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</row>
    <row r="635" spans="1:25" ht="15.75" customHeight="1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</row>
    <row r="636" spans="1:25" ht="15.75" customHeight="1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</row>
    <row r="637" spans="1:25" ht="15.75" customHeight="1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</row>
    <row r="638" spans="1:25" ht="15.75" customHeight="1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</row>
    <row r="639" spans="1:25" ht="15.75" customHeight="1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</row>
    <row r="640" spans="1:25" ht="15.75" customHeight="1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</row>
    <row r="641" spans="1:25" ht="15.75" customHeight="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</row>
    <row r="642" spans="1:25" ht="15.75" customHeight="1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</row>
    <row r="643" spans="1:25" ht="15.75" customHeight="1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</row>
    <row r="644" spans="1:25" ht="15.75" customHeight="1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</row>
    <row r="645" spans="1:25" ht="15.75" customHeight="1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</row>
    <row r="646" spans="1:25" ht="15.75" customHeight="1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</row>
    <row r="647" spans="1:25" ht="15.75" customHeight="1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</row>
    <row r="648" spans="1:25" ht="15.75" customHeight="1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</row>
    <row r="649" spans="1:25" ht="15.75" customHeight="1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</row>
    <row r="650" spans="1:25" ht="15.75" customHeight="1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</row>
    <row r="651" spans="1:25" ht="15.75" customHeight="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</row>
    <row r="652" spans="1:25" ht="15.75" customHeight="1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</row>
    <row r="653" spans="1:25" ht="15.75" customHeight="1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</row>
    <row r="654" spans="1:25" ht="15.75" customHeight="1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</row>
    <row r="655" spans="1:25" ht="15.75" customHeight="1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</row>
    <row r="656" spans="1:25" ht="15.75" customHeight="1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</row>
    <row r="657" spans="1:25" ht="15.75" customHeight="1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</row>
    <row r="658" spans="1:25" ht="15.75" customHeight="1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</row>
    <row r="659" spans="1:25" ht="15.75" customHeight="1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</row>
    <row r="660" spans="1:25" ht="15.75" customHeight="1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</row>
    <row r="661" spans="1:25" ht="15.75" customHeight="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</row>
    <row r="662" spans="1:25" ht="15.75" customHeight="1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</row>
    <row r="663" spans="1:25" ht="15.75" customHeight="1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</row>
    <row r="664" spans="1:25" ht="15.75" customHeight="1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</row>
    <row r="665" spans="1:25" ht="15.75" customHeight="1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</row>
    <row r="666" spans="1:25" ht="15.75" customHeight="1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</row>
    <row r="667" spans="1:25" ht="15.75" customHeight="1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</row>
    <row r="668" spans="1:25" ht="15.75" customHeight="1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</row>
    <row r="669" spans="1:25" ht="15.75" customHeight="1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</row>
    <row r="670" spans="1:25" ht="15.75" customHeight="1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</row>
    <row r="671" spans="1:25" ht="15.75" customHeight="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</row>
    <row r="672" spans="1:25" ht="15.75" customHeight="1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</row>
    <row r="673" spans="1:25" ht="15.75" customHeight="1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</row>
    <row r="674" spans="1:25" ht="15.75" customHeight="1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</row>
    <row r="675" spans="1:25" ht="15.75" customHeight="1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</row>
    <row r="676" spans="1:25" ht="15.75" customHeight="1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</row>
    <row r="677" spans="1:25" ht="15.75" customHeight="1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</row>
    <row r="678" spans="1:25" ht="15.75" customHeight="1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</row>
    <row r="679" spans="1:25" ht="15.75" customHeight="1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</row>
    <row r="680" spans="1:25" ht="15.75" customHeight="1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</row>
    <row r="681" spans="1:25" ht="15.75" customHeight="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</row>
    <row r="682" spans="1:25" ht="15.75" customHeight="1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</row>
    <row r="683" spans="1:25" ht="15.75" customHeight="1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</row>
    <row r="684" spans="1:25" ht="15.75" customHeight="1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</row>
    <row r="685" spans="1:25" ht="15.75" customHeight="1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</row>
    <row r="686" spans="1:25" ht="15.75" customHeight="1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</row>
    <row r="687" spans="1:25" ht="15.75" customHeight="1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</row>
    <row r="688" spans="1:25" ht="15.75" customHeight="1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</row>
    <row r="689" spans="1:25" ht="15.75" customHeight="1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</row>
    <row r="690" spans="1:25" ht="15.75" customHeight="1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</row>
    <row r="691" spans="1:25" ht="15.75" customHeight="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</row>
    <row r="692" spans="1:25" ht="15.75" customHeight="1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</row>
    <row r="693" spans="1:25" ht="15.75" customHeight="1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</row>
    <row r="694" spans="1:25" ht="15.75" customHeight="1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</row>
    <row r="695" spans="1:25" ht="15.75" customHeight="1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</row>
    <row r="696" spans="1:25" ht="15.75" customHeight="1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</row>
    <row r="697" spans="1:25" ht="15.75" customHeight="1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</row>
    <row r="698" spans="1:25" ht="15.75" customHeight="1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</row>
    <row r="699" spans="1:25" ht="15.75" customHeight="1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</row>
    <row r="700" spans="1:25" ht="15.75" customHeight="1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</row>
    <row r="701" spans="1:25" ht="15.75" customHeight="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</row>
    <row r="702" spans="1:25" ht="15.75" customHeight="1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</row>
    <row r="703" spans="1:25" ht="15.75" customHeight="1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</row>
    <row r="704" spans="1:25" ht="15.75" customHeight="1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</row>
    <row r="705" spans="1:25" ht="15.75" customHeight="1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</row>
    <row r="706" spans="1:25" ht="15.75" customHeight="1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</row>
    <row r="707" spans="1:25" ht="15.75" customHeight="1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</row>
    <row r="708" spans="1:25" ht="15.75" customHeight="1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</row>
    <row r="709" spans="1:25" ht="15.75" customHeight="1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</row>
    <row r="710" spans="1:25" ht="15.75" customHeight="1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</row>
    <row r="711" spans="1:25" ht="15.75" customHeight="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</row>
    <row r="712" spans="1:25" ht="15.75" customHeight="1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</row>
    <row r="713" spans="1:25" ht="15.75" customHeight="1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</row>
    <row r="714" spans="1:25" ht="15.75" customHeight="1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</row>
    <row r="715" spans="1:25" ht="15.75" customHeight="1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</row>
    <row r="716" spans="1:25" ht="15.75" customHeight="1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</row>
    <row r="717" spans="1:25" ht="15.75" customHeight="1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</row>
    <row r="718" spans="1:25" ht="15.75" customHeight="1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</row>
    <row r="719" spans="1:25" ht="15.75" customHeight="1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</row>
    <row r="720" spans="1:25" ht="15.75" customHeight="1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</row>
    <row r="721" spans="1:25" ht="15.75" customHeight="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</row>
    <row r="722" spans="1:25" ht="15.75" customHeight="1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</row>
    <row r="723" spans="1:25" ht="15.75" customHeight="1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</row>
    <row r="724" spans="1:25" ht="15.75" customHeight="1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</row>
    <row r="725" spans="1:25" ht="15.75" customHeight="1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</row>
    <row r="726" spans="1:25" ht="15.75" customHeight="1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</row>
    <row r="727" spans="1:25" ht="15.75" customHeight="1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</row>
    <row r="728" spans="1:25" ht="15.75" customHeight="1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</row>
    <row r="729" spans="1:25" ht="15.75" customHeight="1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</row>
    <row r="730" spans="1:25" ht="15.75" customHeight="1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</row>
    <row r="731" spans="1:25" ht="15.75" customHeight="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</row>
    <row r="732" spans="1:25" ht="15.75" customHeight="1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</row>
    <row r="733" spans="1:25" ht="15.75" customHeight="1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</row>
    <row r="734" spans="1:25" ht="15.75" customHeight="1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</row>
    <row r="735" spans="1:25" ht="15.75" customHeight="1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</row>
    <row r="736" spans="1:25" ht="15.75" customHeight="1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</row>
    <row r="737" spans="1:25" ht="15.75" customHeight="1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</row>
    <row r="738" spans="1:25" ht="15.75" customHeight="1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</row>
    <row r="739" spans="1:25" ht="15.75" customHeight="1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</row>
    <row r="740" spans="1:25" ht="15.75" customHeight="1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</row>
    <row r="741" spans="1:25" ht="15.75" customHeight="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</row>
    <row r="742" spans="1:25" ht="15.75" customHeight="1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</row>
    <row r="743" spans="1:25" ht="15.75" customHeight="1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</row>
    <row r="744" spans="1:25" ht="15.75" customHeight="1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</row>
    <row r="745" spans="1:25" ht="15.75" customHeight="1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</row>
    <row r="746" spans="1:25" ht="15.75" customHeight="1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</row>
    <row r="747" spans="1:25" ht="15.75" customHeight="1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</row>
    <row r="748" spans="1:25" ht="15.75" customHeight="1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</row>
    <row r="749" spans="1:25" ht="15.75" customHeight="1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</row>
    <row r="750" spans="1:25" ht="15.75" customHeight="1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</row>
    <row r="751" spans="1:25" ht="15.75" customHeight="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</row>
    <row r="752" spans="1:25" ht="15.75" customHeight="1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</row>
    <row r="753" spans="1:25" ht="15.75" customHeight="1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</row>
    <row r="754" spans="1:25" ht="15.75" customHeight="1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</row>
    <row r="755" spans="1:25" ht="15.75" customHeight="1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</row>
    <row r="756" spans="1:25" ht="15.75" customHeight="1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</row>
    <row r="757" spans="1:25" ht="15.75" customHeight="1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</row>
    <row r="758" spans="1:25" ht="15.75" customHeight="1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</row>
    <row r="759" spans="1:25" ht="15.75" customHeight="1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</row>
    <row r="760" spans="1:25" ht="15.75" customHeight="1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</row>
    <row r="761" spans="1:25" ht="15.75" customHeight="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</row>
    <row r="762" spans="1:25" ht="15.75" customHeight="1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</row>
    <row r="763" spans="1:25" ht="15.75" customHeight="1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</row>
    <row r="764" spans="1:25" ht="15.75" customHeight="1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</row>
    <row r="765" spans="1:25" ht="15.75" customHeight="1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</row>
    <row r="766" spans="1:25" ht="15.75" customHeight="1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</row>
    <row r="767" spans="1:25" ht="15.75" customHeight="1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</row>
    <row r="768" spans="1:25" ht="15.75" customHeight="1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</row>
    <row r="769" spans="1:25" ht="15.75" customHeight="1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</row>
    <row r="770" spans="1:25" ht="15.75" customHeight="1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</row>
    <row r="771" spans="1:25" ht="15.75" customHeight="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</row>
    <row r="772" spans="1:25" ht="15.75" customHeight="1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</row>
    <row r="773" spans="1:25" ht="15.75" customHeight="1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</row>
    <row r="774" spans="1:25" ht="15.75" customHeight="1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</row>
    <row r="775" spans="1:25" ht="15.75" customHeight="1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</row>
    <row r="776" spans="1:25" ht="15.75" customHeight="1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</row>
    <row r="777" spans="1:25" ht="15.75" customHeight="1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</row>
    <row r="778" spans="1:25" ht="15.75" customHeight="1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</row>
    <row r="779" spans="1:25" ht="15.75" customHeight="1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</row>
    <row r="780" spans="1:25" ht="15.75" customHeight="1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</row>
    <row r="781" spans="1:25" ht="15.75" customHeight="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</row>
    <row r="782" spans="1:25" ht="15.75" customHeight="1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</row>
    <row r="783" spans="1:25" ht="15.75" customHeight="1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</row>
    <row r="784" spans="1:25" ht="15.75" customHeight="1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</row>
    <row r="785" spans="1:25" ht="15.75" customHeight="1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</row>
    <row r="786" spans="1:25" ht="15.75" customHeight="1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</row>
    <row r="787" spans="1:25" ht="15.75" customHeight="1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</row>
    <row r="788" spans="1:25" ht="15.75" customHeight="1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</row>
    <row r="789" spans="1:25" ht="15.75" customHeight="1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</row>
    <row r="790" spans="1:25" ht="15.75" customHeight="1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</row>
    <row r="791" spans="1:25" ht="15.75" customHeight="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</row>
    <row r="792" spans="1:25" ht="15.75" customHeight="1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</row>
    <row r="793" spans="1:25" ht="15.75" customHeight="1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</row>
    <row r="794" spans="1:25" ht="15.75" customHeight="1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</row>
    <row r="795" spans="1:25" ht="15.75" customHeight="1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</row>
    <row r="796" spans="1:25" ht="15.75" customHeight="1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</row>
    <row r="797" spans="1:25" ht="15.75" customHeight="1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</row>
    <row r="798" spans="1:25" ht="15.75" customHeight="1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</row>
    <row r="799" spans="1:25" ht="15.75" customHeight="1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</row>
    <row r="800" spans="1:25" ht="15.75" customHeight="1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</row>
    <row r="801" spans="1:25" ht="15.75" customHeight="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</row>
    <row r="802" spans="1:25" ht="15.75" customHeight="1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</row>
    <row r="803" spans="1:25" ht="15.75" customHeight="1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</row>
    <row r="804" spans="1:25" ht="15.75" customHeight="1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</row>
    <row r="805" spans="1:25" ht="15.75" customHeight="1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</row>
    <row r="806" spans="1:25" ht="15.75" customHeight="1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</row>
    <row r="807" spans="1:25" ht="15.75" customHeight="1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</row>
    <row r="808" spans="1:25" ht="15.75" customHeight="1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</row>
    <row r="809" spans="1:25" ht="15.75" customHeight="1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</row>
    <row r="810" spans="1:25" ht="15.75" customHeight="1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</row>
    <row r="811" spans="1:25" ht="15.75" customHeight="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</row>
    <row r="812" spans="1:25" ht="15.75" customHeight="1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</row>
    <row r="813" spans="1:25" ht="15.75" customHeight="1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</row>
    <row r="814" spans="1:25" ht="15.75" customHeight="1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</row>
    <row r="815" spans="1:25" ht="15.75" customHeight="1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</row>
    <row r="816" spans="1:25" ht="15.75" customHeight="1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</row>
    <row r="817" spans="1:25" ht="15.75" customHeight="1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</row>
    <row r="818" spans="1:25" ht="15.75" customHeight="1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</row>
    <row r="819" spans="1:25" ht="15.75" customHeight="1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</row>
    <row r="820" spans="1:25" ht="15.75" customHeight="1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</row>
    <row r="821" spans="1:25" ht="15.75" customHeight="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</row>
    <row r="822" spans="1:25" ht="15.75" customHeight="1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</row>
    <row r="823" spans="1:25" ht="15.75" customHeight="1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</row>
    <row r="824" spans="1:25" ht="15.75" customHeight="1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</row>
    <row r="825" spans="1:25" ht="15.75" customHeight="1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</row>
    <row r="826" spans="1:25" ht="15.75" customHeight="1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</row>
    <row r="827" spans="1:25" ht="15.75" customHeight="1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</row>
    <row r="828" spans="1:25" ht="15.75" customHeight="1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</row>
    <row r="829" spans="1:25" ht="15.75" customHeight="1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</row>
    <row r="830" spans="1:25" ht="15.75" customHeight="1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</row>
    <row r="831" spans="1:25" ht="15.75" customHeight="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</row>
    <row r="832" spans="1:25" ht="15.75" customHeight="1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</row>
    <row r="833" spans="1:25" ht="15.75" customHeight="1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</row>
    <row r="834" spans="1:25" ht="15.75" customHeight="1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</row>
    <row r="835" spans="1:25" ht="15.75" customHeight="1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</row>
    <row r="836" spans="1:25" ht="15.75" customHeight="1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</row>
    <row r="837" spans="1:25" ht="15.75" customHeight="1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</row>
    <row r="838" spans="1:25" ht="15.75" customHeight="1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</row>
    <row r="839" spans="1:25" ht="15.75" customHeight="1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</row>
    <row r="840" spans="1:25" ht="15.75" customHeight="1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</row>
    <row r="841" spans="1:25" ht="15.75" customHeight="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</row>
    <row r="842" spans="1:25" ht="15.75" customHeight="1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</row>
    <row r="843" spans="1:25" ht="15.75" customHeight="1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</row>
    <row r="844" spans="1:25" ht="15.75" customHeight="1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</row>
    <row r="845" spans="1:25" ht="15.75" customHeight="1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</row>
    <row r="846" spans="1:25" ht="15.75" customHeight="1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</row>
    <row r="847" spans="1:25" ht="15.75" customHeight="1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</row>
    <row r="848" spans="1:25" ht="15.75" customHeight="1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</row>
    <row r="849" spans="1:25" ht="15.75" customHeight="1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</row>
    <row r="850" spans="1:25" ht="15.75" customHeight="1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</row>
    <row r="851" spans="1:25" ht="15.75" customHeight="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</row>
    <row r="852" spans="1:25" ht="15.75" customHeight="1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</row>
    <row r="853" spans="1:25" ht="15.75" customHeight="1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</row>
    <row r="854" spans="1:25" ht="15.75" customHeight="1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</row>
    <row r="855" spans="1:25" ht="15.75" customHeight="1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</row>
    <row r="856" spans="1:25" ht="15.75" customHeight="1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</row>
    <row r="857" spans="1:25" ht="15.75" customHeight="1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</row>
    <row r="858" spans="1:25" ht="15.75" customHeight="1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</row>
    <row r="859" spans="1:25" ht="15.75" customHeight="1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</row>
    <row r="860" spans="1:25" ht="15.75" customHeight="1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</row>
    <row r="861" spans="1:25" ht="15.75" customHeight="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</row>
    <row r="862" spans="1:25" ht="15.75" customHeight="1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</row>
    <row r="863" spans="1:25" ht="15.75" customHeight="1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</row>
    <row r="864" spans="1:25" ht="15.75" customHeight="1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</row>
    <row r="865" spans="1:25" ht="15.75" customHeight="1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</row>
    <row r="866" spans="1:25" ht="15.75" customHeight="1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</row>
    <row r="867" spans="1:25" ht="15.75" customHeight="1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</row>
    <row r="868" spans="1:25" ht="15.75" customHeight="1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</row>
    <row r="869" spans="1:25" ht="15.75" customHeight="1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</row>
    <row r="870" spans="1:25" ht="15.75" customHeight="1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</row>
    <row r="871" spans="1:25" ht="15.75" customHeight="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</row>
    <row r="872" spans="1:25" ht="15.75" customHeight="1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</row>
    <row r="873" spans="1:25" ht="15.75" customHeight="1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</row>
    <row r="874" spans="1:25" ht="15.75" customHeight="1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</row>
    <row r="875" spans="1:25" ht="15.75" customHeight="1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</row>
    <row r="876" spans="1:25" ht="15.75" customHeight="1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</row>
    <row r="877" spans="1:25" ht="15.75" customHeight="1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</row>
    <row r="878" spans="1:25" ht="15.75" customHeight="1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</row>
    <row r="879" spans="1:25" ht="15.75" customHeight="1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</row>
    <row r="880" spans="1:25" ht="15.75" customHeight="1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</row>
    <row r="881" spans="1:25" ht="15.75" customHeight="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</row>
    <row r="882" spans="1:25" ht="15.75" customHeight="1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</row>
    <row r="883" spans="1:25" ht="15.75" customHeight="1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</row>
    <row r="884" spans="1:25" ht="15.75" customHeight="1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</row>
    <row r="885" spans="1:25" ht="15.75" customHeight="1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</row>
    <row r="886" spans="1:25" ht="15.75" customHeight="1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</row>
    <row r="887" spans="1:25" ht="15.75" customHeight="1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</row>
    <row r="888" spans="1:25" ht="15.75" customHeight="1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</row>
    <row r="889" spans="1:25" ht="15.75" customHeight="1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</row>
    <row r="890" spans="1:25" ht="15.75" customHeight="1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</row>
    <row r="891" spans="1:25" ht="15.75" customHeight="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</row>
    <row r="892" spans="1:25" ht="15.75" customHeight="1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</row>
    <row r="893" spans="1:25" ht="15.75" customHeight="1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</row>
    <row r="894" spans="1:25" ht="15.75" customHeight="1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</row>
    <row r="895" spans="1:25" ht="15.75" customHeight="1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</row>
    <row r="896" spans="1:25" ht="15.75" customHeight="1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</row>
    <row r="897" spans="1:25" ht="15.75" customHeight="1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</row>
    <row r="898" spans="1:25" ht="15.75" customHeight="1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</row>
    <row r="899" spans="1:25" ht="15.75" customHeight="1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</row>
    <row r="900" spans="1:25" ht="15.75" customHeight="1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</row>
    <row r="901" spans="1:25" ht="15.75" customHeight="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</row>
    <row r="902" spans="1:25" ht="15.75" customHeight="1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</row>
    <row r="903" spans="1:25" ht="15.75" customHeight="1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</row>
    <row r="904" spans="1:25" ht="15.75" customHeight="1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</row>
    <row r="905" spans="1:25" ht="15.75" customHeight="1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</row>
    <row r="906" spans="1:25" ht="15.75" customHeight="1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</row>
    <row r="907" spans="1:25" ht="15.75" customHeight="1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</row>
    <row r="908" spans="1:25" ht="15.75" customHeight="1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</row>
    <row r="909" spans="1:25" ht="15.75" customHeight="1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</row>
    <row r="910" spans="1:25" ht="15.75" customHeight="1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</row>
    <row r="911" spans="1:25" ht="15.75" customHeight="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</row>
    <row r="912" spans="1:25" ht="15.75" customHeight="1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</row>
    <row r="913" spans="1:25" ht="15.75" customHeight="1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</row>
    <row r="914" spans="1:25" ht="15.75" customHeight="1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</row>
    <row r="915" spans="1:25" ht="15.75" customHeight="1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</row>
    <row r="916" spans="1:25" ht="15.75" customHeight="1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</row>
    <row r="917" spans="1:25" ht="15.75" customHeight="1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</row>
    <row r="918" spans="1:25" ht="15.75" customHeight="1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</row>
    <row r="919" spans="1:25" ht="15.75" customHeight="1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</row>
    <row r="920" spans="1:25" ht="15.75" customHeight="1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</row>
    <row r="921" spans="1:25" ht="15.75" customHeight="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</row>
    <row r="922" spans="1:25" ht="15.75" customHeight="1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</row>
    <row r="923" spans="1:25" ht="15.75" customHeight="1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</row>
    <row r="924" spans="1:25" ht="15.75" customHeight="1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</row>
    <row r="925" spans="1:25" ht="15.75" customHeight="1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</row>
    <row r="926" spans="1:25" ht="15.75" customHeight="1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</row>
    <row r="927" spans="1:25" ht="15.75" customHeight="1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</row>
    <row r="928" spans="1:25" ht="15.75" customHeight="1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</row>
    <row r="929" spans="1:25" ht="15.75" customHeight="1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</row>
    <row r="930" spans="1:25" ht="15.75" customHeight="1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</row>
    <row r="931" spans="1:25" ht="15.75" customHeight="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</row>
    <row r="932" spans="1:25" ht="15.75" customHeight="1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</row>
    <row r="933" spans="1:25" ht="15.75" customHeight="1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</row>
    <row r="934" spans="1:25" ht="15.75" customHeight="1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</row>
    <row r="935" spans="1:25" ht="15.75" customHeight="1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</row>
    <row r="936" spans="1:25" ht="15.75" customHeight="1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</row>
    <row r="937" spans="1:25" ht="15.75" customHeight="1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</row>
    <row r="938" spans="1:25" ht="15.75" customHeight="1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</row>
    <row r="939" spans="1:25" ht="15.75" customHeight="1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</row>
    <row r="940" spans="1:25" ht="15.75" customHeight="1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</row>
    <row r="941" spans="1:25" ht="15.75" customHeight="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</row>
    <row r="942" spans="1:25" ht="15.75" customHeight="1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</row>
    <row r="943" spans="1:25" ht="15.75" customHeight="1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</row>
    <row r="944" spans="1:25" ht="15.75" customHeight="1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</row>
    <row r="945" spans="1:25" ht="15.75" customHeight="1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</row>
    <row r="946" spans="1:25" ht="15.75" customHeight="1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</row>
    <row r="947" spans="1:25" ht="15.75" customHeight="1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</row>
    <row r="948" spans="1:25" ht="15.75" customHeight="1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</row>
    <row r="949" spans="1:25" ht="15.75" customHeight="1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</row>
    <row r="950" spans="1:25" ht="15.75" customHeight="1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</row>
    <row r="951" spans="1:25" ht="15.75" customHeight="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</row>
    <row r="952" spans="1:25" ht="15.75" customHeight="1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</row>
    <row r="953" spans="1:25" ht="15.75" customHeight="1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</row>
    <row r="954" spans="1:25" ht="15.75" customHeight="1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</row>
    <row r="955" spans="1:25" ht="15.75" customHeight="1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</row>
    <row r="956" spans="1:25" ht="15.75" customHeight="1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</row>
    <row r="957" spans="1:25" ht="15.75" customHeight="1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</row>
    <row r="958" spans="1:25" ht="15.75" customHeight="1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</row>
    <row r="959" spans="1:25" ht="15.75" customHeight="1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</row>
    <row r="960" spans="1:25" ht="15.75" customHeight="1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</row>
    <row r="961" spans="1:25" ht="15.75" customHeight="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</row>
    <row r="962" spans="1:25" ht="15.75" customHeight="1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</row>
    <row r="963" spans="1:25" ht="15.75" customHeight="1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</row>
    <row r="964" spans="1:25" ht="15.75" customHeight="1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</row>
    <row r="965" spans="1:25" ht="15.75" customHeight="1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</row>
    <row r="966" spans="1:25" ht="15.75" customHeight="1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</row>
    <row r="967" spans="1:25" ht="15.75" customHeight="1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</row>
    <row r="968" spans="1:25" ht="15.75" customHeight="1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</row>
    <row r="969" spans="1:25" ht="15.75" customHeight="1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</row>
    <row r="970" spans="1:25" ht="15.75" customHeight="1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</row>
    <row r="971" spans="1:25" ht="15.75" customHeight="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</row>
    <row r="972" spans="1:25" ht="15.75" customHeight="1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</row>
    <row r="973" spans="1:25" ht="15.75" customHeight="1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</row>
    <row r="974" spans="1:25" ht="15.75" customHeight="1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</row>
    <row r="975" spans="1:25" ht="15.75" customHeight="1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</row>
    <row r="976" spans="1:25" ht="15.75" customHeight="1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</row>
    <row r="977" spans="1:25" ht="15.75" customHeight="1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</row>
    <row r="978" spans="1:25" ht="15.75" customHeight="1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</row>
    <row r="979" spans="1:25" ht="15.75" customHeight="1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</row>
    <row r="980" spans="1:25" ht="15.75" customHeight="1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</row>
    <row r="981" spans="1:25" ht="15.75" customHeight="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</row>
    <row r="982" spans="1:25" ht="15.75" customHeight="1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</row>
    <row r="983" spans="1:25" ht="15.75" customHeight="1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</row>
    <row r="984" spans="1:25" ht="15.75" customHeight="1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</row>
    <row r="985" spans="1:25" ht="15.75" customHeight="1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</row>
    <row r="986" spans="1:25" ht="15.75" customHeight="1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</row>
    <row r="987" spans="1:25" ht="15.75" customHeight="1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</row>
    <row r="988" spans="1:25" ht="15.75" customHeight="1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</row>
    <row r="989" spans="1:25" ht="15.75" customHeight="1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</row>
    <row r="990" spans="1:25" ht="15.75" customHeight="1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</row>
    <row r="991" spans="1:25" ht="15.75" customHeight="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</row>
    <row r="992" spans="1:25" ht="15.75" customHeight="1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</row>
    <row r="993" spans="1:25" ht="15.75" customHeight="1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</row>
    <row r="994" spans="1:25" ht="15.75" customHeight="1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</row>
    <row r="995" spans="1:25" ht="15.75" customHeight="1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</row>
    <row r="996" spans="1:25" ht="15.75" customHeight="1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</row>
    <row r="997" spans="1:25" ht="15.75" customHeight="1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</row>
    <row r="998" spans="1:25" ht="15.75" customHeight="1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</row>
    <row r="999" spans="1:25" ht="15.75" customHeight="1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</row>
    <row r="1000" spans="1:25" ht="15.75" customHeight="1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</row>
  </sheetData>
  <mergeCells count="11">
    <mergeCell ref="V2:W2"/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ageMargins left="0.7" right="0.7" top="0.75" bottom="0.75" header="0" footer="0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19"/>
  <sheetViews>
    <sheetView topLeftCell="B1" workbookViewId="0">
      <selection activeCell="D14" sqref="D14"/>
    </sheetView>
  </sheetViews>
  <sheetFormatPr defaultColWidth="9.140625" defaultRowHeight="15"/>
  <cols>
    <col min="1" max="1" width="47.85546875" customWidth="1"/>
    <col min="2" max="2" width="44.5703125" customWidth="1"/>
    <col min="3" max="22" width="5.85546875" style="28" customWidth="1"/>
  </cols>
  <sheetData>
    <row r="1" spans="1:22" ht="39.75" customHeight="1">
      <c r="A1" s="313" t="s">
        <v>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</row>
    <row r="2" spans="1:22" ht="87.75" customHeight="1">
      <c r="A2" s="441" t="s">
        <v>4</v>
      </c>
      <c r="B2" s="441" t="s">
        <v>1</v>
      </c>
      <c r="C2" s="443" t="s">
        <v>5</v>
      </c>
      <c r="D2" s="444"/>
      <c r="E2" s="445" t="s">
        <v>2</v>
      </c>
      <c r="F2" s="444"/>
      <c r="G2" s="443" t="s">
        <v>10</v>
      </c>
      <c r="H2" s="444"/>
      <c r="I2" s="446" t="s">
        <v>11</v>
      </c>
      <c r="J2" s="444"/>
      <c r="K2" s="446" t="s">
        <v>9</v>
      </c>
      <c r="L2" s="446"/>
      <c r="M2" s="446" t="s">
        <v>14</v>
      </c>
      <c r="N2" s="446"/>
      <c r="O2" s="446" t="s">
        <v>15</v>
      </c>
      <c r="P2" s="446"/>
      <c r="Q2" s="443" t="s">
        <v>3</v>
      </c>
      <c r="R2" s="444"/>
      <c r="S2" s="443" t="s">
        <v>12</v>
      </c>
      <c r="T2" s="444"/>
      <c r="U2" s="443" t="s">
        <v>13</v>
      </c>
      <c r="V2" s="448"/>
    </row>
    <row r="3" spans="1:22" ht="19.5" customHeight="1">
      <c r="A3" s="442"/>
      <c r="B3" s="442"/>
      <c r="C3" s="77" t="s">
        <v>6</v>
      </c>
      <c r="D3" s="77" t="s">
        <v>7</v>
      </c>
      <c r="E3" s="77" t="s">
        <v>6</v>
      </c>
      <c r="F3" s="77" t="s">
        <v>7</v>
      </c>
      <c r="G3" s="77" t="s">
        <v>6</v>
      </c>
      <c r="H3" s="77" t="s">
        <v>7</v>
      </c>
      <c r="I3" s="77" t="s">
        <v>6</v>
      </c>
      <c r="J3" s="77" t="s">
        <v>7</v>
      </c>
      <c r="K3" s="77" t="s">
        <v>6</v>
      </c>
      <c r="L3" s="77" t="s">
        <v>7</v>
      </c>
      <c r="M3" s="77" t="s">
        <v>6</v>
      </c>
      <c r="N3" s="77" t="s">
        <v>7</v>
      </c>
      <c r="O3" s="77" t="s">
        <v>6</v>
      </c>
      <c r="P3" s="77" t="s">
        <v>7</v>
      </c>
      <c r="Q3" s="77" t="s">
        <v>6</v>
      </c>
      <c r="R3" s="77" t="s">
        <v>7</v>
      </c>
      <c r="S3" s="77" t="s">
        <v>6</v>
      </c>
      <c r="T3" s="77" t="s">
        <v>7</v>
      </c>
      <c r="U3" s="77" t="s">
        <v>6</v>
      </c>
      <c r="V3" s="77" t="s">
        <v>7</v>
      </c>
    </row>
    <row r="4" spans="1:22" ht="21.95" customHeight="1">
      <c r="A4" s="449" t="s">
        <v>553</v>
      </c>
      <c r="B4" s="3" t="s">
        <v>554</v>
      </c>
      <c r="C4" s="25">
        <v>201</v>
      </c>
      <c r="D4" s="25">
        <v>156</v>
      </c>
      <c r="E4" s="25">
        <v>759</v>
      </c>
      <c r="F4" s="25">
        <v>611</v>
      </c>
      <c r="G4" s="25">
        <v>185</v>
      </c>
      <c r="H4" s="25">
        <v>79</v>
      </c>
      <c r="I4" s="25">
        <v>1748</v>
      </c>
      <c r="J4" s="25">
        <v>734</v>
      </c>
      <c r="K4" s="25">
        <v>13</v>
      </c>
      <c r="L4" s="25">
        <v>3</v>
      </c>
      <c r="M4" s="25">
        <v>3</v>
      </c>
      <c r="N4" s="25">
        <v>2</v>
      </c>
      <c r="O4" s="75"/>
      <c r="P4" s="75"/>
      <c r="Q4" s="25">
        <v>36</v>
      </c>
      <c r="R4" s="25">
        <v>37</v>
      </c>
      <c r="S4" s="25">
        <v>74</v>
      </c>
      <c r="T4" s="25">
        <v>59</v>
      </c>
      <c r="U4" s="25">
        <v>17</v>
      </c>
      <c r="V4" s="25">
        <v>8</v>
      </c>
    </row>
    <row r="5" spans="1:22" ht="21.95" customHeight="1">
      <c r="A5" s="449"/>
      <c r="B5" s="3" t="s">
        <v>555</v>
      </c>
      <c r="C5" s="25">
        <v>182</v>
      </c>
      <c r="D5" s="25">
        <v>156</v>
      </c>
      <c r="E5" s="25">
        <v>766</v>
      </c>
      <c r="F5" s="25">
        <v>702</v>
      </c>
      <c r="G5" s="25">
        <v>217</v>
      </c>
      <c r="H5" s="25">
        <v>121</v>
      </c>
      <c r="I5" s="25">
        <v>3380</v>
      </c>
      <c r="J5" s="25">
        <v>1741</v>
      </c>
      <c r="K5" s="25">
        <v>14</v>
      </c>
      <c r="L5" s="23">
        <v>10</v>
      </c>
      <c r="M5" s="23">
        <v>8</v>
      </c>
      <c r="N5" s="23">
        <v>1</v>
      </c>
      <c r="O5" s="23">
        <v>1</v>
      </c>
      <c r="P5" s="23">
        <v>0</v>
      </c>
      <c r="Q5" s="23">
        <v>34</v>
      </c>
      <c r="R5" s="23">
        <v>46</v>
      </c>
      <c r="S5" s="23">
        <v>75</v>
      </c>
      <c r="T5" s="23">
        <v>64</v>
      </c>
      <c r="U5" s="23">
        <v>29</v>
      </c>
      <c r="V5" s="23">
        <v>14</v>
      </c>
    </row>
    <row r="6" spans="1:22" ht="21.95" customHeight="1">
      <c r="A6" s="449"/>
      <c r="B6" s="3" t="s">
        <v>556</v>
      </c>
      <c r="C6" s="25">
        <v>42</v>
      </c>
      <c r="D6" s="25">
        <v>111</v>
      </c>
      <c r="E6" s="25">
        <v>156</v>
      </c>
      <c r="F6" s="25">
        <v>377</v>
      </c>
      <c r="G6" s="25">
        <v>55</v>
      </c>
      <c r="H6" s="25">
        <v>99</v>
      </c>
      <c r="I6" s="25">
        <v>153</v>
      </c>
      <c r="J6" s="25">
        <v>283</v>
      </c>
      <c r="K6" s="25">
        <v>3</v>
      </c>
      <c r="L6" s="23">
        <v>12</v>
      </c>
      <c r="M6" s="23">
        <v>0</v>
      </c>
      <c r="N6" s="23">
        <v>2</v>
      </c>
      <c r="O6" s="23">
        <v>0</v>
      </c>
      <c r="P6" s="23">
        <v>0</v>
      </c>
      <c r="Q6" s="23">
        <v>24</v>
      </c>
      <c r="R6" s="25">
        <v>70</v>
      </c>
      <c r="S6" s="25">
        <v>31</v>
      </c>
      <c r="T6" s="25">
        <v>84</v>
      </c>
      <c r="U6" s="25">
        <v>1</v>
      </c>
      <c r="V6" s="25">
        <v>3</v>
      </c>
    </row>
    <row r="7" spans="1:22" ht="21.95" customHeight="1">
      <c r="A7" s="449"/>
      <c r="B7" s="3" t="s">
        <v>557</v>
      </c>
      <c r="C7" s="25">
        <v>41</v>
      </c>
      <c r="D7" s="25">
        <v>59</v>
      </c>
      <c r="E7" s="25">
        <v>118</v>
      </c>
      <c r="F7" s="25">
        <v>198</v>
      </c>
      <c r="G7" s="25">
        <v>50</v>
      </c>
      <c r="H7" s="25">
        <v>25</v>
      </c>
      <c r="I7" s="25">
        <v>0</v>
      </c>
      <c r="J7" s="25">
        <v>0</v>
      </c>
      <c r="K7" s="25">
        <v>1</v>
      </c>
      <c r="L7" s="23">
        <v>2</v>
      </c>
      <c r="M7" s="75"/>
      <c r="N7" s="23">
        <v>1</v>
      </c>
      <c r="O7" s="23">
        <v>0</v>
      </c>
      <c r="P7" s="23">
        <v>0</v>
      </c>
      <c r="Q7" s="25">
        <v>18</v>
      </c>
      <c r="R7" s="23">
        <v>34</v>
      </c>
      <c r="S7" s="23">
        <v>12</v>
      </c>
      <c r="T7" s="23">
        <v>13</v>
      </c>
      <c r="U7" s="25">
        <v>0</v>
      </c>
      <c r="V7" s="25">
        <v>0</v>
      </c>
    </row>
    <row r="8" spans="1:22" ht="21.95" customHeight="1">
      <c r="A8" s="447" t="s">
        <v>558</v>
      </c>
      <c r="B8" s="3" t="s">
        <v>559</v>
      </c>
      <c r="C8" s="21">
        <v>129</v>
      </c>
      <c r="D8" s="21">
        <v>148</v>
      </c>
      <c r="E8" s="21">
        <v>553</v>
      </c>
      <c r="F8" s="21">
        <v>537</v>
      </c>
      <c r="G8" s="21">
        <v>125</v>
      </c>
      <c r="H8" s="21">
        <v>70</v>
      </c>
      <c r="I8" s="21">
        <v>250</v>
      </c>
      <c r="J8" s="21">
        <v>206</v>
      </c>
      <c r="K8" s="21">
        <v>9</v>
      </c>
      <c r="L8" s="21">
        <v>2</v>
      </c>
      <c r="M8" s="21">
        <v>2</v>
      </c>
      <c r="N8" s="76"/>
      <c r="O8" s="76"/>
      <c r="P8" s="21">
        <v>1</v>
      </c>
      <c r="Q8" s="21">
        <v>55</v>
      </c>
      <c r="R8" s="21">
        <v>61</v>
      </c>
      <c r="S8" s="21">
        <v>60</v>
      </c>
      <c r="T8" s="21">
        <v>33</v>
      </c>
      <c r="U8" s="21">
        <v>7</v>
      </c>
      <c r="V8" s="21">
        <v>1</v>
      </c>
    </row>
    <row r="9" spans="1:22" ht="21.95" customHeight="1">
      <c r="A9" s="447"/>
      <c r="B9" s="3" t="s">
        <v>560</v>
      </c>
      <c r="C9" s="25">
        <v>137</v>
      </c>
      <c r="D9" s="25">
        <v>69</v>
      </c>
      <c r="E9" s="25">
        <v>392</v>
      </c>
      <c r="F9" s="25">
        <v>220</v>
      </c>
      <c r="G9" s="25">
        <v>560</v>
      </c>
      <c r="H9" s="25">
        <v>320</v>
      </c>
      <c r="I9" s="25">
        <v>225</v>
      </c>
      <c r="J9" s="25">
        <v>120</v>
      </c>
      <c r="K9" s="25">
        <v>16</v>
      </c>
      <c r="L9" s="25">
        <v>8</v>
      </c>
      <c r="M9" s="25">
        <v>5</v>
      </c>
      <c r="N9" s="25">
        <v>0</v>
      </c>
      <c r="O9" s="25">
        <v>0</v>
      </c>
      <c r="P9" s="25">
        <v>0</v>
      </c>
      <c r="Q9" s="25">
        <v>12</v>
      </c>
      <c r="R9" s="25">
        <v>4</v>
      </c>
      <c r="S9" s="25">
        <v>39</v>
      </c>
      <c r="T9" s="25">
        <v>32</v>
      </c>
      <c r="U9" s="25">
        <v>22</v>
      </c>
      <c r="V9" s="25">
        <v>11</v>
      </c>
    </row>
    <row r="10" spans="1:22" ht="21.95" customHeight="1">
      <c r="A10" s="447" t="s">
        <v>561</v>
      </c>
      <c r="B10" s="3" t="s">
        <v>562</v>
      </c>
      <c r="C10" s="25">
        <v>117</v>
      </c>
      <c r="D10" s="25">
        <v>67</v>
      </c>
      <c r="E10" s="25">
        <v>502</v>
      </c>
      <c r="F10" s="25">
        <v>291</v>
      </c>
      <c r="G10" s="25">
        <v>152</v>
      </c>
      <c r="H10" s="25">
        <v>85</v>
      </c>
      <c r="I10" s="25">
        <v>407</v>
      </c>
      <c r="J10" s="25">
        <v>208</v>
      </c>
      <c r="K10" s="25">
        <v>8</v>
      </c>
      <c r="L10" s="23">
        <v>4</v>
      </c>
      <c r="M10" s="23">
        <v>6</v>
      </c>
      <c r="N10" s="23">
        <v>0</v>
      </c>
      <c r="O10" s="23">
        <v>0</v>
      </c>
      <c r="P10" s="23">
        <v>0</v>
      </c>
      <c r="Q10" s="25">
        <v>32</v>
      </c>
      <c r="R10" s="25">
        <v>25</v>
      </c>
      <c r="S10" s="25">
        <v>66</v>
      </c>
      <c r="T10" s="25">
        <v>41</v>
      </c>
      <c r="U10" s="25">
        <v>16</v>
      </c>
      <c r="V10" s="25">
        <v>5</v>
      </c>
    </row>
    <row r="11" spans="1:22" ht="21.95" customHeight="1">
      <c r="A11" s="447"/>
      <c r="B11" s="3" t="s">
        <v>563</v>
      </c>
      <c r="C11" s="25">
        <v>114</v>
      </c>
      <c r="D11" s="25">
        <v>76</v>
      </c>
      <c r="E11" s="25">
        <v>507</v>
      </c>
      <c r="F11" s="25">
        <v>392</v>
      </c>
      <c r="G11" s="25">
        <v>150</v>
      </c>
      <c r="H11" s="25">
        <v>98</v>
      </c>
      <c r="I11" s="25">
        <v>1105</v>
      </c>
      <c r="J11" s="25">
        <v>753</v>
      </c>
      <c r="K11" s="25">
        <v>15</v>
      </c>
      <c r="L11" s="23">
        <v>11</v>
      </c>
      <c r="M11" s="23">
        <v>3</v>
      </c>
      <c r="N11" s="23">
        <v>3</v>
      </c>
      <c r="O11" s="23">
        <v>0</v>
      </c>
      <c r="P11" s="23">
        <v>0</v>
      </c>
      <c r="Q11" s="23">
        <v>11</v>
      </c>
      <c r="R11" s="23">
        <v>11</v>
      </c>
      <c r="S11" s="23">
        <v>48</v>
      </c>
      <c r="T11" s="23">
        <v>58</v>
      </c>
      <c r="U11" s="23">
        <v>38</v>
      </c>
      <c r="V11" s="23">
        <v>33</v>
      </c>
    </row>
    <row r="12" spans="1:22" ht="21.95" customHeight="1">
      <c r="A12" s="447" t="s">
        <v>564</v>
      </c>
      <c r="B12" s="3" t="s">
        <v>565</v>
      </c>
      <c r="C12" s="25">
        <v>195</v>
      </c>
      <c r="D12" s="25">
        <v>56</v>
      </c>
      <c r="E12" s="25">
        <v>719</v>
      </c>
      <c r="F12" s="25">
        <v>184</v>
      </c>
      <c r="G12" s="25">
        <v>412</v>
      </c>
      <c r="H12" s="25">
        <v>76</v>
      </c>
      <c r="I12" s="25">
        <v>162</v>
      </c>
      <c r="J12" s="25">
        <v>34</v>
      </c>
      <c r="K12" s="25">
        <v>19</v>
      </c>
      <c r="L12" s="23">
        <v>8</v>
      </c>
      <c r="M12" s="23">
        <v>3</v>
      </c>
      <c r="N12" s="23">
        <v>2</v>
      </c>
      <c r="O12" s="75"/>
      <c r="P12" s="75"/>
      <c r="Q12" s="23">
        <v>22</v>
      </c>
      <c r="R12" s="23">
        <v>6</v>
      </c>
      <c r="S12" s="23">
        <v>47</v>
      </c>
      <c r="T12" s="23">
        <v>15</v>
      </c>
      <c r="U12" s="23">
        <v>13</v>
      </c>
      <c r="V12" s="23">
        <v>7</v>
      </c>
    </row>
    <row r="13" spans="1:22" ht="21.95" customHeight="1">
      <c r="A13" s="447"/>
      <c r="B13" s="3" t="s">
        <v>566</v>
      </c>
      <c r="C13" s="25">
        <v>148</v>
      </c>
      <c r="D13" s="25">
        <v>48</v>
      </c>
      <c r="E13" s="25">
        <v>625</v>
      </c>
      <c r="F13" s="25">
        <v>158</v>
      </c>
      <c r="G13" s="25">
        <v>212</v>
      </c>
      <c r="H13" s="25">
        <v>39</v>
      </c>
      <c r="I13" s="25">
        <v>961</v>
      </c>
      <c r="J13" s="25">
        <v>231</v>
      </c>
      <c r="K13" s="25">
        <v>26</v>
      </c>
      <c r="L13" s="23">
        <v>4</v>
      </c>
      <c r="M13" s="23">
        <v>11</v>
      </c>
      <c r="N13" s="23">
        <v>1</v>
      </c>
      <c r="O13" s="23">
        <v>1</v>
      </c>
      <c r="P13" s="23">
        <v>0</v>
      </c>
      <c r="Q13" s="23">
        <v>8</v>
      </c>
      <c r="R13" s="23">
        <v>5</v>
      </c>
      <c r="S13" s="23">
        <v>19</v>
      </c>
      <c r="T13" s="23">
        <v>9</v>
      </c>
      <c r="U13" s="23">
        <v>35</v>
      </c>
      <c r="V13" s="23">
        <v>6</v>
      </c>
    </row>
    <row r="14" spans="1:22">
      <c r="B14" s="3" t="s">
        <v>126</v>
      </c>
      <c r="C14" s="25">
        <f>SUM(C4:C13)</f>
        <v>1306</v>
      </c>
      <c r="D14" s="25">
        <f t="shared" ref="D14:V14" si="0">SUM(D4:D13)</f>
        <v>946</v>
      </c>
      <c r="E14" s="25">
        <f t="shared" si="0"/>
        <v>5097</v>
      </c>
      <c r="F14" s="25">
        <f t="shared" si="0"/>
        <v>3670</v>
      </c>
      <c r="G14" s="25">
        <f t="shared" si="0"/>
        <v>2118</v>
      </c>
      <c r="H14" s="25">
        <f t="shared" si="0"/>
        <v>1012</v>
      </c>
      <c r="I14" s="25">
        <f t="shared" si="0"/>
        <v>8391</v>
      </c>
      <c r="J14" s="25">
        <f t="shared" si="0"/>
        <v>4310</v>
      </c>
      <c r="K14" s="25">
        <f t="shared" si="0"/>
        <v>124</v>
      </c>
      <c r="L14" s="25">
        <f t="shared" si="0"/>
        <v>64</v>
      </c>
      <c r="M14" s="25">
        <f t="shared" si="0"/>
        <v>41</v>
      </c>
      <c r="N14" s="25">
        <f t="shared" si="0"/>
        <v>12</v>
      </c>
      <c r="O14" s="25">
        <f t="shared" si="0"/>
        <v>2</v>
      </c>
      <c r="P14" s="25">
        <f t="shared" si="0"/>
        <v>1</v>
      </c>
      <c r="Q14" s="25">
        <f t="shared" si="0"/>
        <v>252</v>
      </c>
      <c r="R14" s="25">
        <f t="shared" si="0"/>
        <v>299</v>
      </c>
      <c r="S14" s="25">
        <f t="shared" si="0"/>
        <v>471</v>
      </c>
      <c r="T14" s="25">
        <f t="shared" si="0"/>
        <v>408</v>
      </c>
      <c r="U14" s="25">
        <f t="shared" si="0"/>
        <v>178</v>
      </c>
      <c r="V14" s="25">
        <f t="shared" si="0"/>
        <v>88</v>
      </c>
    </row>
    <row r="15" spans="1:22">
      <c r="L15" s="63"/>
      <c r="M15" s="63"/>
      <c r="N15" s="63"/>
      <c r="O15" s="63"/>
      <c r="P15" s="63"/>
    </row>
    <row r="16" spans="1:22">
      <c r="L16" s="63"/>
      <c r="M16" s="63"/>
      <c r="N16" s="63"/>
      <c r="O16" s="63"/>
      <c r="P16" s="63"/>
    </row>
    <row r="17" spans="12:16">
      <c r="L17" s="63"/>
      <c r="M17" s="63"/>
      <c r="N17" s="63"/>
      <c r="O17" s="63"/>
      <c r="P17" s="63"/>
    </row>
    <row r="18" spans="12:16">
      <c r="L18" s="63"/>
      <c r="M18" s="63"/>
      <c r="N18" s="63"/>
      <c r="O18" s="63"/>
      <c r="P18" s="63"/>
    </row>
    <row r="19" spans="12:16">
      <c r="L19" s="63"/>
      <c r="M19" s="63"/>
      <c r="N19" s="63"/>
      <c r="O19" s="63"/>
      <c r="P19" s="63"/>
    </row>
  </sheetData>
  <mergeCells count="17">
    <mergeCell ref="A12:A13"/>
    <mergeCell ref="Q2:R2"/>
    <mergeCell ref="S2:T2"/>
    <mergeCell ref="U2:V2"/>
    <mergeCell ref="A4:A7"/>
    <mergeCell ref="A8:A9"/>
    <mergeCell ref="A10:A11"/>
    <mergeCell ref="A1:V1"/>
    <mergeCell ref="A2:A3"/>
    <mergeCell ref="B2:B3"/>
    <mergeCell ref="C2:D2"/>
    <mergeCell ref="E2:F2"/>
    <mergeCell ref="G2:H2"/>
    <mergeCell ref="I2:J2"/>
    <mergeCell ref="K2:L2"/>
    <mergeCell ref="M2:N2"/>
    <mergeCell ref="O2:P2"/>
  </mergeCells>
  <pageMargins left="0.7" right="0.7" top="0.75" bottom="0.75" header="0.3" footer="0.3"/>
  <pageSetup paperSize="9" scale="56"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6"/>
  <sheetViews>
    <sheetView topLeftCell="A24" zoomScaleNormal="100" workbookViewId="0">
      <selection activeCell="X24" sqref="X1:X1048576"/>
    </sheetView>
  </sheetViews>
  <sheetFormatPr defaultColWidth="10.42578125" defaultRowHeight="15"/>
  <cols>
    <col min="1" max="1" width="19.28515625" style="28" customWidth="1"/>
    <col min="2" max="2" width="18" style="28" customWidth="1"/>
    <col min="3" max="3" width="38.140625" style="28" customWidth="1"/>
    <col min="4" max="23" width="5.85546875" style="28" customWidth="1"/>
    <col min="24" max="16384" width="10.42578125" style="28"/>
  </cols>
  <sheetData>
    <row r="1" spans="1:30">
      <c r="A1" s="320" t="s">
        <v>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30" ht="109.5" customHeight="1">
      <c r="A2" s="53" t="s">
        <v>0</v>
      </c>
      <c r="B2" s="53" t="s">
        <v>4</v>
      </c>
      <c r="C2" s="53" t="s">
        <v>1</v>
      </c>
      <c r="D2" s="361" t="s">
        <v>5</v>
      </c>
      <c r="E2" s="321"/>
      <c r="F2" s="361" t="s">
        <v>2</v>
      </c>
      <c r="G2" s="321"/>
      <c r="H2" s="361" t="s">
        <v>10</v>
      </c>
      <c r="I2" s="321"/>
      <c r="J2" s="326" t="s">
        <v>11</v>
      </c>
      <c r="K2" s="321"/>
      <c r="L2" s="326" t="s">
        <v>9</v>
      </c>
      <c r="M2" s="327"/>
      <c r="N2" s="326" t="s">
        <v>14</v>
      </c>
      <c r="O2" s="327"/>
      <c r="P2" s="326" t="s">
        <v>15</v>
      </c>
      <c r="Q2" s="327"/>
      <c r="R2" s="361" t="s">
        <v>3</v>
      </c>
      <c r="S2" s="321"/>
      <c r="T2" s="361" t="s">
        <v>12</v>
      </c>
      <c r="U2" s="321"/>
      <c r="V2" s="361" t="s">
        <v>13</v>
      </c>
      <c r="W2" s="319"/>
    </row>
    <row r="3" spans="1:30">
      <c r="A3" s="53"/>
      <c r="B3" s="53"/>
      <c r="C3" s="53"/>
      <c r="D3" s="53" t="s">
        <v>6</v>
      </c>
      <c r="E3" s="53" t="s">
        <v>7</v>
      </c>
      <c r="F3" s="53" t="s">
        <v>6</v>
      </c>
      <c r="G3" s="53" t="s">
        <v>7</v>
      </c>
      <c r="H3" s="53" t="s">
        <v>6</v>
      </c>
      <c r="I3" s="53" t="s">
        <v>7</v>
      </c>
      <c r="J3" s="53" t="s">
        <v>6</v>
      </c>
      <c r="K3" s="53" t="s">
        <v>7</v>
      </c>
      <c r="L3" s="53" t="s">
        <v>6</v>
      </c>
      <c r="M3" s="53" t="s">
        <v>7</v>
      </c>
      <c r="N3" s="53" t="s">
        <v>6</v>
      </c>
      <c r="O3" s="53" t="s">
        <v>7</v>
      </c>
      <c r="P3" s="53" t="s">
        <v>6</v>
      </c>
      <c r="Q3" s="53" t="s">
        <v>7</v>
      </c>
      <c r="R3" s="53" t="s">
        <v>6</v>
      </c>
      <c r="S3" s="53" t="s">
        <v>7</v>
      </c>
      <c r="T3" s="53" t="s">
        <v>6</v>
      </c>
      <c r="U3" s="53" t="s">
        <v>7</v>
      </c>
      <c r="V3" s="53" t="s">
        <v>6</v>
      </c>
      <c r="W3" s="53" t="s">
        <v>7</v>
      </c>
    </row>
    <row r="4" spans="1:30" ht="66" customHeight="1">
      <c r="A4" s="73" t="s">
        <v>567</v>
      </c>
      <c r="B4" s="73" t="s">
        <v>568</v>
      </c>
      <c r="C4" s="73" t="s">
        <v>569</v>
      </c>
      <c r="D4" s="58">
        <v>41</v>
      </c>
      <c r="E4" s="58">
        <v>60</v>
      </c>
      <c r="F4" s="58">
        <v>60</v>
      </c>
      <c r="G4" s="58">
        <v>80</v>
      </c>
      <c r="H4" s="58">
        <v>109</v>
      </c>
      <c r="I4" s="58">
        <v>112</v>
      </c>
      <c r="J4" s="58">
        <v>130</v>
      </c>
      <c r="K4" s="58">
        <v>81</v>
      </c>
      <c r="L4" s="58">
        <v>13</v>
      </c>
      <c r="M4" s="59">
        <v>18</v>
      </c>
      <c r="N4" s="59">
        <v>0</v>
      </c>
      <c r="O4" s="59">
        <v>1</v>
      </c>
      <c r="P4" s="59">
        <v>1</v>
      </c>
      <c r="Q4" s="59">
        <v>0</v>
      </c>
      <c r="R4" s="58">
        <v>0</v>
      </c>
      <c r="S4" s="58">
        <v>0</v>
      </c>
      <c r="T4" s="58">
        <v>23</v>
      </c>
      <c r="U4" s="58">
        <v>11</v>
      </c>
      <c r="V4" s="58">
        <v>21</v>
      </c>
      <c r="W4" s="58">
        <v>16</v>
      </c>
      <c r="X4" s="54"/>
      <c r="Y4" s="54"/>
      <c r="Z4" s="54"/>
      <c r="AA4" s="54"/>
      <c r="AB4" s="54"/>
      <c r="AC4" s="54"/>
      <c r="AD4" s="54"/>
    </row>
    <row r="5" spans="1:30" ht="63" customHeight="1">
      <c r="A5" s="73" t="s">
        <v>567</v>
      </c>
      <c r="B5" s="73" t="s">
        <v>570</v>
      </c>
      <c r="C5" s="73" t="s">
        <v>571</v>
      </c>
      <c r="D5" s="58">
        <v>116</v>
      </c>
      <c r="E5" s="58">
        <v>97</v>
      </c>
      <c r="F5" s="58">
        <v>523</v>
      </c>
      <c r="G5" s="58">
        <v>429</v>
      </c>
      <c r="H5" s="58">
        <v>224</v>
      </c>
      <c r="I5" s="58">
        <v>198</v>
      </c>
      <c r="J5" s="58">
        <v>611</v>
      </c>
      <c r="K5" s="58">
        <v>682</v>
      </c>
      <c r="L5" s="58">
        <v>27</v>
      </c>
      <c r="M5" s="59">
        <v>29</v>
      </c>
      <c r="N5" s="59">
        <v>11</v>
      </c>
      <c r="O5" s="59">
        <v>3</v>
      </c>
      <c r="P5" s="59">
        <v>1</v>
      </c>
      <c r="Q5" s="59">
        <v>0</v>
      </c>
      <c r="R5" s="58">
        <v>3</v>
      </c>
      <c r="S5" s="58">
        <v>5</v>
      </c>
      <c r="T5" s="58">
        <v>39</v>
      </c>
      <c r="U5" s="58">
        <v>59</v>
      </c>
      <c r="V5" s="58">
        <v>30</v>
      </c>
      <c r="W5" s="58">
        <v>43</v>
      </c>
      <c r="X5" s="54"/>
      <c r="Y5" s="54"/>
      <c r="Z5" s="54"/>
      <c r="AA5" s="54"/>
      <c r="AB5" s="54"/>
      <c r="AC5" s="54"/>
      <c r="AD5" s="54"/>
    </row>
    <row r="6" spans="1:30" ht="60.75" customHeight="1">
      <c r="A6" s="73" t="s">
        <v>567</v>
      </c>
      <c r="B6" s="73" t="s">
        <v>572</v>
      </c>
      <c r="C6" s="73" t="s">
        <v>573</v>
      </c>
      <c r="D6" s="58">
        <v>96</v>
      </c>
      <c r="E6" s="58">
        <v>44</v>
      </c>
      <c r="F6" s="58">
        <v>288</v>
      </c>
      <c r="G6" s="58">
        <v>129</v>
      </c>
      <c r="H6" s="58">
        <v>0</v>
      </c>
      <c r="I6" s="58">
        <v>0</v>
      </c>
      <c r="J6" s="58">
        <v>0</v>
      </c>
      <c r="K6" s="58">
        <v>0</v>
      </c>
      <c r="L6" s="58">
        <v>27</v>
      </c>
      <c r="M6" s="59">
        <v>17</v>
      </c>
      <c r="N6" s="59">
        <v>0</v>
      </c>
      <c r="O6" s="59">
        <v>0</v>
      </c>
      <c r="P6" s="59">
        <v>0</v>
      </c>
      <c r="Q6" s="59">
        <v>0</v>
      </c>
      <c r="R6" s="58">
        <v>16</v>
      </c>
      <c r="S6" s="58">
        <v>16</v>
      </c>
      <c r="T6" s="58">
        <v>0</v>
      </c>
      <c r="U6" s="58">
        <v>0</v>
      </c>
      <c r="V6" s="58">
        <v>0</v>
      </c>
      <c r="W6" s="58">
        <v>0</v>
      </c>
      <c r="X6" s="54"/>
      <c r="Y6" s="54"/>
      <c r="Z6" s="54"/>
      <c r="AA6" s="54"/>
      <c r="AB6" s="54"/>
      <c r="AC6" s="54"/>
      <c r="AD6" s="54"/>
    </row>
    <row r="7" spans="1:30" ht="59.25" customHeight="1">
      <c r="A7" s="73" t="s">
        <v>567</v>
      </c>
      <c r="B7" s="73" t="s">
        <v>220</v>
      </c>
      <c r="C7" s="73" t="s">
        <v>574</v>
      </c>
      <c r="D7" s="58">
        <v>35</v>
      </c>
      <c r="E7" s="58">
        <v>91</v>
      </c>
      <c r="F7" s="58">
        <v>111</v>
      </c>
      <c r="G7" s="58">
        <v>350</v>
      </c>
      <c r="H7" s="58">
        <v>0</v>
      </c>
      <c r="I7" s="58">
        <v>0</v>
      </c>
      <c r="J7" s="58">
        <v>0</v>
      </c>
      <c r="K7" s="58">
        <v>0</v>
      </c>
      <c r="L7" s="58">
        <v>8</v>
      </c>
      <c r="M7" s="59">
        <v>29</v>
      </c>
      <c r="N7" s="59">
        <v>1</v>
      </c>
      <c r="O7" s="59">
        <v>9</v>
      </c>
      <c r="P7" s="59">
        <v>0</v>
      </c>
      <c r="Q7" s="59">
        <v>0</v>
      </c>
      <c r="R7" s="58">
        <v>0</v>
      </c>
      <c r="S7" s="58">
        <v>15</v>
      </c>
      <c r="T7" s="58">
        <v>0</v>
      </c>
      <c r="U7" s="58">
        <v>0</v>
      </c>
      <c r="V7" s="58">
        <v>0</v>
      </c>
      <c r="W7" s="58">
        <v>0</v>
      </c>
      <c r="X7" s="54"/>
      <c r="Y7" s="54"/>
      <c r="Z7" s="54"/>
      <c r="AA7" s="54"/>
      <c r="AB7" s="54"/>
      <c r="AC7" s="54"/>
      <c r="AD7" s="54"/>
    </row>
    <row r="8" spans="1:30" ht="60.75" customHeight="1">
      <c r="A8" s="73" t="s">
        <v>567</v>
      </c>
      <c r="B8" s="73" t="s">
        <v>568</v>
      </c>
      <c r="C8" s="73" t="s">
        <v>575</v>
      </c>
      <c r="D8" s="58">
        <v>48</v>
      </c>
      <c r="E8" s="58">
        <v>110</v>
      </c>
      <c r="F8" s="58">
        <v>80</v>
      </c>
      <c r="G8" s="58">
        <v>247</v>
      </c>
      <c r="H8" s="58">
        <v>53</v>
      </c>
      <c r="I8" s="58">
        <v>83</v>
      </c>
      <c r="J8" s="58">
        <v>111</v>
      </c>
      <c r="K8" s="58">
        <v>129</v>
      </c>
      <c r="L8" s="58">
        <v>9</v>
      </c>
      <c r="M8" s="59">
        <v>34</v>
      </c>
      <c r="N8" s="59">
        <v>1</v>
      </c>
      <c r="O8" s="59">
        <v>3</v>
      </c>
      <c r="P8" s="59">
        <v>1</v>
      </c>
      <c r="Q8" s="59">
        <v>1</v>
      </c>
      <c r="R8" s="58">
        <v>0</v>
      </c>
      <c r="S8" s="58">
        <v>0</v>
      </c>
      <c r="T8" s="58">
        <v>14</v>
      </c>
      <c r="U8" s="58">
        <v>53</v>
      </c>
      <c r="V8" s="58">
        <v>47</v>
      </c>
      <c r="W8" s="58">
        <v>96</v>
      </c>
      <c r="X8" s="54"/>
      <c r="Y8" s="54"/>
      <c r="Z8" s="54"/>
      <c r="AA8" s="54"/>
      <c r="AB8" s="54"/>
      <c r="AC8" s="54"/>
      <c r="AD8" s="54"/>
    </row>
    <row r="9" spans="1:30" ht="69.75" customHeight="1">
      <c r="A9" s="73" t="s">
        <v>567</v>
      </c>
      <c r="B9" s="73" t="s">
        <v>224</v>
      </c>
      <c r="C9" s="73" t="s">
        <v>576</v>
      </c>
      <c r="D9" s="58">
        <v>201</v>
      </c>
      <c r="E9" s="58">
        <v>33</v>
      </c>
      <c r="F9" s="58">
        <v>628</v>
      </c>
      <c r="G9" s="58">
        <v>105</v>
      </c>
      <c r="H9" s="58">
        <v>433</v>
      </c>
      <c r="I9" s="58">
        <v>64</v>
      </c>
      <c r="J9" s="58">
        <v>1559</v>
      </c>
      <c r="K9" s="58">
        <v>216</v>
      </c>
      <c r="L9" s="58">
        <v>40</v>
      </c>
      <c r="M9" s="59">
        <v>9</v>
      </c>
      <c r="N9" s="59">
        <v>5</v>
      </c>
      <c r="O9" s="59">
        <v>0</v>
      </c>
      <c r="P9" s="59">
        <v>0</v>
      </c>
      <c r="Q9" s="59">
        <v>1</v>
      </c>
      <c r="R9" s="58">
        <v>18</v>
      </c>
      <c r="S9" s="58">
        <v>4</v>
      </c>
      <c r="T9" s="58">
        <v>46</v>
      </c>
      <c r="U9" s="58">
        <v>7</v>
      </c>
      <c r="V9" s="58">
        <v>82</v>
      </c>
      <c r="W9" s="58">
        <v>7</v>
      </c>
      <c r="X9" s="54"/>
      <c r="Y9" s="54"/>
      <c r="Z9" s="54"/>
      <c r="AA9" s="54"/>
      <c r="AB9" s="54"/>
      <c r="AC9" s="54"/>
      <c r="AD9" s="54"/>
    </row>
    <row r="10" spans="1:30" ht="59.25" customHeight="1">
      <c r="A10" s="73" t="s">
        <v>567</v>
      </c>
      <c r="B10" s="73" t="s">
        <v>577</v>
      </c>
      <c r="C10" s="73" t="s">
        <v>578</v>
      </c>
      <c r="D10" s="58">
        <v>20</v>
      </c>
      <c r="E10" s="58">
        <v>61</v>
      </c>
      <c r="F10" s="58">
        <v>73</v>
      </c>
      <c r="G10" s="58">
        <v>365</v>
      </c>
      <c r="H10" s="58">
        <v>33</v>
      </c>
      <c r="I10" s="58">
        <v>122</v>
      </c>
      <c r="J10" s="58">
        <v>92</v>
      </c>
      <c r="K10" s="58">
        <v>295</v>
      </c>
      <c r="L10" s="58">
        <v>8</v>
      </c>
      <c r="M10" s="59">
        <v>27</v>
      </c>
      <c r="N10" s="59">
        <v>1</v>
      </c>
      <c r="O10" s="59">
        <v>1</v>
      </c>
      <c r="P10" s="59">
        <v>0</v>
      </c>
      <c r="Q10" s="59">
        <v>0</v>
      </c>
      <c r="R10" s="58">
        <v>1</v>
      </c>
      <c r="S10" s="58">
        <v>3</v>
      </c>
      <c r="T10" s="58">
        <v>2</v>
      </c>
      <c r="U10" s="58">
        <v>20</v>
      </c>
      <c r="V10" s="58">
        <v>2</v>
      </c>
      <c r="W10" s="58">
        <v>13</v>
      </c>
      <c r="X10" s="54"/>
      <c r="Y10" s="54"/>
      <c r="Z10" s="54"/>
      <c r="AA10" s="54"/>
      <c r="AB10" s="54"/>
      <c r="AC10" s="54"/>
      <c r="AD10" s="54"/>
    </row>
    <row r="11" spans="1:30" ht="67.5" customHeight="1">
      <c r="A11" s="73" t="s">
        <v>567</v>
      </c>
      <c r="B11" s="73" t="s">
        <v>579</v>
      </c>
      <c r="C11" s="73" t="s">
        <v>580</v>
      </c>
      <c r="D11" s="58">
        <v>28</v>
      </c>
      <c r="E11" s="58">
        <v>33</v>
      </c>
      <c r="F11" s="58">
        <v>156</v>
      </c>
      <c r="G11" s="58">
        <v>235</v>
      </c>
      <c r="H11" s="58">
        <v>49</v>
      </c>
      <c r="I11" s="58">
        <v>80</v>
      </c>
      <c r="J11" s="58">
        <v>96</v>
      </c>
      <c r="K11" s="58">
        <v>200</v>
      </c>
      <c r="L11" s="58">
        <v>14</v>
      </c>
      <c r="M11" s="59">
        <v>6</v>
      </c>
      <c r="N11" s="59">
        <v>0</v>
      </c>
      <c r="O11" s="59">
        <v>0</v>
      </c>
      <c r="P11" s="59">
        <v>0</v>
      </c>
      <c r="Q11" s="59">
        <v>0</v>
      </c>
      <c r="R11" s="58">
        <v>0</v>
      </c>
      <c r="S11" s="58">
        <v>0</v>
      </c>
      <c r="T11" s="58">
        <v>25</v>
      </c>
      <c r="U11" s="58">
        <v>39</v>
      </c>
      <c r="V11" s="58">
        <v>9</v>
      </c>
      <c r="W11" s="58">
        <v>28</v>
      </c>
      <c r="X11" s="54"/>
      <c r="Y11" s="54"/>
      <c r="Z11" s="54"/>
      <c r="AA11" s="54"/>
      <c r="AB11" s="54"/>
      <c r="AC11" s="54"/>
      <c r="AD11" s="54"/>
    </row>
    <row r="12" spans="1:30" ht="25.5">
      <c r="A12" s="73" t="s">
        <v>567</v>
      </c>
      <c r="B12" s="73" t="s">
        <v>581</v>
      </c>
      <c r="C12" s="73" t="s">
        <v>582</v>
      </c>
      <c r="D12" s="58">
        <v>12</v>
      </c>
      <c r="E12" s="58">
        <v>50</v>
      </c>
      <c r="F12" s="58">
        <v>69</v>
      </c>
      <c r="G12" s="58">
        <v>268</v>
      </c>
      <c r="H12" s="58">
        <v>19</v>
      </c>
      <c r="I12" s="58">
        <v>45</v>
      </c>
      <c r="J12" s="58">
        <v>80</v>
      </c>
      <c r="K12" s="58">
        <v>187</v>
      </c>
      <c r="L12" s="58">
        <v>4</v>
      </c>
      <c r="M12" s="59">
        <v>25</v>
      </c>
      <c r="N12" s="59">
        <v>0</v>
      </c>
      <c r="O12" s="59">
        <v>1</v>
      </c>
      <c r="P12" s="59">
        <v>1</v>
      </c>
      <c r="Q12" s="59">
        <v>2</v>
      </c>
      <c r="R12" s="58">
        <v>4</v>
      </c>
      <c r="S12" s="58">
        <v>22</v>
      </c>
      <c r="T12" s="58">
        <v>2</v>
      </c>
      <c r="U12" s="58">
        <v>24</v>
      </c>
      <c r="V12" s="58">
        <v>2</v>
      </c>
      <c r="W12" s="58">
        <v>11</v>
      </c>
      <c r="X12" s="54"/>
      <c r="Y12" s="54"/>
      <c r="Z12" s="54"/>
      <c r="AA12" s="54"/>
      <c r="AB12" s="54"/>
      <c r="AC12" s="54"/>
      <c r="AD12" s="54"/>
    </row>
    <row r="13" spans="1:30" ht="51" customHeight="1">
      <c r="A13" s="73" t="s">
        <v>567</v>
      </c>
      <c r="B13" s="73" t="s">
        <v>570</v>
      </c>
      <c r="C13" s="73" t="s">
        <v>583</v>
      </c>
      <c r="D13" s="58">
        <v>112</v>
      </c>
      <c r="E13" s="58">
        <v>83</v>
      </c>
      <c r="F13" s="58">
        <v>356</v>
      </c>
      <c r="G13" s="58">
        <v>300</v>
      </c>
      <c r="H13" s="58">
        <v>100</v>
      </c>
      <c r="I13" s="58">
        <v>84</v>
      </c>
      <c r="J13" s="58">
        <v>171</v>
      </c>
      <c r="K13" s="58">
        <v>137</v>
      </c>
      <c r="L13" s="58">
        <v>22</v>
      </c>
      <c r="M13" s="59">
        <v>18</v>
      </c>
      <c r="N13" s="59">
        <v>2</v>
      </c>
      <c r="O13" s="59">
        <v>1</v>
      </c>
      <c r="P13" s="59">
        <v>0</v>
      </c>
      <c r="Q13" s="59">
        <v>1</v>
      </c>
      <c r="R13" s="58">
        <v>0</v>
      </c>
      <c r="S13" s="58">
        <v>6</v>
      </c>
      <c r="T13" s="58">
        <v>24</v>
      </c>
      <c r="U13" s="58">
        <v>29</v>
      </c>
      <c r="V13" s="58">
        <v>17</v>
      </c>
      <c r="W13" s="58">
        <v>19</v>
      </c>
      <c r="X13" s="54"/>
      <c r="Y13" s="54"/>
      <c r="Z13" s="54"/>
      <c r="AA13" s="54"/>
      <c r="AB13" s="54"/>
      <c r="AC13" s="54"/>
      <c r="AD13" s="54"/>
    </row>
    <row r="14" spans="1:30" ht="53.25" customHeight="1">
      <c r="A14" s="73" t="s">
        <v>567</v>
      </c>
      <c r="B14" s="73" t="s">
        <v>220</v>
      </c>
      <c r="C14" s="73" t="s">
        <v>584</v>
      </c>
      <c r="D14" s="58">
        <v>13</v>
      </c>
      <c r="E14" s="58">
        <v>64</v>
      </c>
      <c r="F14" s="58">
        <v>50</v>
      </c>
      <c r="G14" s="58">
        <v>273</v>
      </c>
      <c r="H14" s="58">
        <v>13</v>
      </c>
      <c r="I14" s="58">
        <v>31</v>
      </c>
      <c r="J14" s="58">
        <v>9</v>
      </c>
      <c r="K14" s="58">
        <v>16</v>
      </c>
      <c r="L14" s="58">
        <v>9</v>
      </c>
      <c r="M14" s="59">
        <v>27</v>
      </c>
      <c r="N14" s="59">
        <v>3</v>
      </c>
      <c r="O14" s="59">
        <v>1</v>
      </c>
      <c r="P14" s="59">
        <v>0</v>
      </c>
      <c r="Q14" s="59">
        <v>0</v>
      </c>
      <c r="R14" s="58">
        <v>2</v>
      </c>
      <c r="S14" s="58">
        <v>9</v>
      </c>
      <c r="T14" s="58">
        <v>9</v>
      </c>
      <c r="U14" s="58">
        <v>60</v>
      </c>
      <c r="V14" s="58">
        <v>0</v>
      </c>
      <c r="W14" s="58">
        <v>2</v>
      </c>
      <c r="X14" s="54"/>
      <c r="Y14" s="54"/>
      <c r="Z14" s="54"/>
      <c r="AA14" s="54"/>
      <c r="AB14" s="54"/>
      <c r="AC14" s="54"/>
      <c r="AD14" s="54"/>
    </row>
    <row r="15" spans="1:30" ht="61.5" customHeight="1">
      <c r="A15" s="73" t="s">
        <v>567</v>
      </c>
      <c r="B15" s="73" t="s">
        <v>224</v>
      </c>
      <c r="C15" s="73" t="s">
        <v>585</v>
      </c>
      <c r="D15" s="58">
        <v>136</v>
      </c>
      <c r="E15" s="58">
        <v>29</v>
      </c>
      <c r="F15" s="58">
        <v>387</v>
      </c>
      <c r="G15" s="58">
        <v>65</v>
      </c>
      <c r="H15" s="58">
        <v>215</v>
      </c>
      <c r="I15" s="58">
        <v>13</v>
      </c>
      <c r="J15" s="58">
        <v>629</v>
      </c>
      <c r="K15" s="58">
        <v>54</v>
      </c>
      <c r="L15" s="58">
        <v>60</v>
      </c>
      <c r="M15" s="59">
        <v>11</v>
      </c>
      <c r="N15" s="59">
        <v>3</v>
      </c>
      <c r="O15" s="59">
        <v>0</v>
      </c>
      <c r="P15" s="59">
        <v>0</v>
      </c>
      <c r="Q15" s="59">
        <v>0</v>
      </c>
      <c r="R15" s="58">
        <v>14</v>
      </c>
      <c r="S15" s="58">
        <v>6</v>
      </c>
      <c r="T15" s="58">
        <v>28</v>
      </c>
      <c r="U15" s="58">
        <v>2</v>
      </c>
      <c r="V15" s="58">
        <v>40</v>
      </c>
      <c r="W15" s="58">
        <v>1</v>
      </c>
      <c r="X15" s="54"/>
      <c r="Y15" s="54"/>
      <c r="Z15" s="54"/>
      <c r="AA15" s="54"/>
      <c r="AB15" s="54"/>
      <c r="AC15" s="54"/>
      <c r="AD15" s="54"/>
    </row>
    <row r="16" spans="1:30" ht="62.25" customHeight="1">
      <c r="A16" s="73" t="s">
        <v>567</v>
      </c>
      <c r="B16" s="73" t="s">
        <v>220</v>
      </c>
      <c r="C16" s="73" t="s">
        <v>294</v>
      </c>
      <c r="D16" s="58">
        <v>35</v>
      </c>
      <c r="E16" s="58">
        <v>80</v>
      </c>
      <c r="F16" s="58">
        <v>67</v>
      </c>
      <c r="G16" s="58">
        <v>230</v>
      </c>
      <c r="H16" s="58">
        <v>7</v>
      </c>
      <c r="I16" s="58">
        <v>45</v>
      </c>
      <c r="J16" s="58">
        <v>33</v>
      </c>
      <c r="K16" s="58">
        <v>88</v>
      </c>
      <c r="L16" s="58">
        <v>25</v>
      </c>
      <c r="M16" s="59">
        <v>54</v>
      </c>
      <c r="N16" s="59">
        <v>1</v>
      </c>
      <c r="O16" s="59">
        <v>3</v>
      </c>
      <c r="P16" s="59">
        <v>0</v>
      </c>
      <c r="Q16" s="59">
        <v>0</v>
      </c>
      <c r="R16" s="58">
        <v>0</v>
      </c>
      <c r="S16" s="58">
        <v>9</v>
      </c>
      <c r="T16" s="58">
        <v>2</v>
      </c>
      <c r="U16" s="58">
        <v>28</v>
      </c>
      <c r="V16" s="58">
        <v>0</v>
      </c>
      <c r="W16" s="58">
        <v>0</v>
      </c>
      <c r="X16" s="54"/>
      <c r="Y16" s="54"/>
      <c r="Z16" s="54"/>
      <c r="AA16" s="54"/>
      <c r="AB16" s="54"/>
      <c r="AC16" s="54"/>
      <c r="AD16" s="54"/>
    </row>
    <row r="17" spans="1:30" ht="53.25" customHeight="1">
      <c r="A17" s="73" t="s">
        <v>567</v>
      </c>
      <c r="B17" s="73" t="s">
        <v>572</v>
      </c>
      <c r="C17" s="73" t="s">
        <v>586</v>
      </c>
      <c r="D17" s="58">
        <v>113</v>
      </c>
      <c r="E17" s="58">
        <v>76</v>
      </c>
      <c r="F17" s="58">
        <v>271</v>
      </c>
      <c r="G17" s="58">
        <v>188</v>
      </c>
      <c r="H17" s="58">
        <v>76</v>
      </c>
      <c r="I17" s="58">
        <v>31</v>
      </c>
      <c r="J17" s="58">
        <v>124</v>
      </c>
      <c r="K17" s="58">
        <v>63</v>
      </c>
      <c r="L17" s="58">
        <v>66</v>
      </c>
      <c r="M17" s="59">
        <v>51</v>
      </c>
      <c r="N17" s="59">
        <v>0</v>
      </c>
      <c r="O17" s="59">
        <v>0</v>
      </c>
      <c r="P17" s="59">
        <v>0</v>
      </c>
      <c r="Q17" s="59">
        <v>0</v>
      </c>
      <c r="R17" s="58">
        <v>2</v>
      </c>
      <c r="S17" s="58">
        <v>3</v>
      </c>
      <c r="T17" s="58">
        <v>33</v>
      </c>
      <c r="U17" s="58">
        <v>18</v>
      </c>
      <c r="V17" s="58">
        <v>9</v>
      </c>
      <c r="W17" s="58">
        <v>2</v>
      </c>
      <c r="X17" s="54"/>
      <c r="Y17" s="54"/>
      <c r="Z17" s="54"/>
      <c r="AA17" s="54"/>
      <c r="AB17" s="54"/>
      <c r="AC17" s="54"/>
      <c r="AD17" s="54"/>
    </row>
    <row r="18" spans="1:30" ht="66" customHeight="1">
      <c r="A18" s="73" t="s">
        <v>567</v>
      </c>
      <c r="B18" s="73" t="s">
        <v>587</v>
      </c>
      <c r="C18" s="73" t="s">
        <v>588</v>
      </c>
      <c r="D18" s="58">
        <v>48</v>
      </c>
      <c r="E18" s="58">
        <v>9</v>
      </c>
      <c r="F18" s="58">
        <v>333</v>
      </c>
      <c r="G18" s="58">
        <v>117</v>
      </c>
      <c r="H18" s="58">
        <v>109</v>
      </c>
      <c r="I18" s="58">
        <v>29</v>
      </c>
      <c r="J18" s="58">
        <v>259</v>
      </c>
      <c r="K18" s="58">
        <v>101</v>
      </c>
      <c r="L18" s="58">
        <v>8</v>
      </c>
      <c r="M18" s="59">
        <v>6</v>
      </c>
      <c r="N18" s="59">
        <v>0</v>
      </c>
      <c r="O18" s="59">
        <v>1</v>
      </c>
      <c r="P18" s="59">
        <v>0</v>
      </c>
      <c r="Q18" s="59">
        <v>0</v>
      </c>
      <c r="R18" s="58">
        <v>2</v>
      </c>
      <c r="S18" s="58">
        <v>1</v>
      </c>
      <c r="T18" s="58">
        <v>42</v>
      </c>
      <c r="U18" s="58">
        <v>15</v>
      </c>
      <c r="V18" s="58">
        <v>17</v>
      </c>
      <c r="W18" s="58">
        <v>8</v>
      </c>
      <c r="X18" s="54"/>
      <c r="Y18" s="54"/>
      <c r="Z18" s="54"/>
      <c r="AA18" s="54"/>
      <c r="AB18" s="54"/>
      <c r="AC18" s="54"/>
      <c r="AD18" s="54"/>
    </row>
    <row r="19" spans="1:30" ht="72" customHeight="1">
      <c r="A19" s="73" t="s">
        <v>567</v>
      </c>
      <c r="B19" s="73" t="s">
        <v>577</v>
      </c>
      <c r="C19" s="73" t="s">
        <v>589</v>
      </c>
      <c r="D19" s="58">
        <v>29</v>
      </c>
      <c r="E19" s="58">
        <v>93</v>
      </c>
      <c r="F19" s="58">
        <v>100</v>
      </c>
      <c r="G19" s="58">
        <v>312</v>
      </c>
      <c r="H19" s="58">
        <v>0</v>
      </c>
      <c r="I19" s="58">
        <v>0</v>
      </c>
      <c r="J19" s="58">
        <v>0</v>
      </c>
      <c r="K19" s="58">
        <v>0</v>
      </c>
      <c r="L19" s="58">
        <v>15</v>
      </c>
      <c r="M19" s="59">
        <v>26</v>
      </c>
      <c r="N19" s="59">
        <v>0</v>
      </c>
      <c r="O19" s="59">
        <v>3</v>
      </c>
      <c r="P19" s="59">
        <v>0</v>
      </c>
      <c r="Q19" s="59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4"/>
      <c r="Y19" s="54"/>
      <c r="Z19" s="54"/>
      <c r="AA19" s="54"/>
      <c r="AB19" s="54"/>
      <c r="AC19" s="54"/>
      <c r="AD19" s="54"/>
    </row>
    <row r="20" spans="1:30" ht="63" customHeight="1">
      <c r="A20" s="73" t="s">
        <v>567</v>
      </c>
      <c r="B20" s="73" t="s">
        <v>572</v>
      </c>
      <c r="C20" s="73" t="s">
        <v>590</v>
      </c>
      <c r="D20" s="58">
        <v>137</v>
      </c>
      <c r="E20" s="58">
        <v>17</v>
      </c>
      <c r="F20" s="58">
        <v>531</v>
      </c>
      <c r="G20" s="58">
        <v>80</v>
      </c>
      <c r="H20" s="58">
        <v>96</v>
      </c>
      <c r="I20" s="58">
        <v>13</v>
      </c>
      <c r="J20" s="58">
        <v>550</v>
      </c>
      <c r="K20" s="58">
        <v>121</v>
      </c>
      <c r="L20" s="58">
        <v>89</v>
      </c>
      <c r="M20" s="59">
        <v>11</v>
      </c>
      <c r="N20" s="59">
        <v>2</v>
      </c>
      <c r="O20" s="59">
        <v>0</v>
      </c>
      <c r="P20" s="59">
        <v>0</v>
      </c>
      <c r="Q20" s="59">
        <v>0</v>
      </c>
      <c r="R20" s="58">
        <v>0</v>
      </c>
      <c r="S20" s="58">
        <v>0</v>
      </c>
      <c r="T20" s="58">
        <v>20</v>
      </c>
      <c r="U20" s="58">
        <v>9</v>
      </c>
      <c r="V20" s="58">
        <v>40</v>
      </c>
      <c r="W20" s="58">
        <v>9</v>
      </c>
      <c r="X20" s="54"/>
      <c r="Y20" s="54"/>
      <c r="Z20" s="54"/>
      <c r="AA20" s="54"/>
      <c r="AB20" s="54"/>
      <c r="AC20" s="54"/>
      <c r="AD20" s="54"/>
    </row>
    <row r="21" spans="1:30" ht="59.25" customHeight="1">
      <c r="A21" s="73" t="s">
        <v>567</v>
      </c>
      <c r="B21" s="73" t="s">
        <v>581</v>
      </c>
      <c r="C21" s="73" t="s">
        <v>591</v>
      </c>
      <c r="D21" s="58">
        <v>28</v>
      </c>
      <c r="E21" s="58">
        <v>44</v>
      </c>
      <c r="F21" s="58">
        <v>186</v>
      </c>
      <c r="G21" s="58">
        <v>270</v>
      </c>
      <c r="H21" s="58">
        <v>37</v>
      </c>
      <c r="I21" s="58">
        <v>50</v>
      </c>
      <c r="J21" s="58">
        <v>59</v>
      </c>
      <c r="K21" s="58">
        <v>103</v>
      </c>
      <c r="L21" s="58">
        <v>13</v>
      </c>
      <c r="M21" s="59">
        <v>17</v>
      </c>
      <c r="N21" s="59">
        <v>4</v>
      </c>
      <c r="O21" s="59">
        <v>3</v>
      </c>
      <c r="P21" s="59">
        <v>2</v>
      </c>
      <c r="Q21" s="59">
        <v>0</v>
      </c>
      <c r="R21" s="58">
        <v>14</v>
      </c>
      <c r="S21" s="58">
        <v>17</v>
      </c>
      <c r="T21" s="58">
        <v>15</v>
      </c>
      <c r="U21" s="58">
        <v>25</v>
      </c>
      <c r="V21" s="58">
        <v>5</v>
      </c>
      <c r="W21" s="58">
        <v>7</v>
      </c>
      <c r="X21" s="54"/>
      <c r="Y21" s="54"/>
      <c r="Z21" s="54"/>
      <c r="AA21" s="54"/>
      <c r="AB21" s="54"/>
      <c r="AC21" s="54"/>
      <c r="AD21" s="54"/>
    </row>
    <row r="22" spans="1:30" ht="53.25" customHeight="1">
      <c r="A22" s="73" t="s">
        <v>567</v>
      </c>
      <c r="B22" s="73" t="s">
        <v>224</v>
      </c>
      <c r="C22" s="73" t="s">
        <v>592</v>
      </c>
      <c r="D22" s="58">
        <v>71</v>
      </c>
      <c r="E22" s="58">
        <v>63</v>
      </c>
      <c r="F22" s="58">
        <v>213</v>
      </c>
      <c r="G22" s="58">
        <v>164</v>
      </c>
      <c r="H22" s="58">
        <v>63</v>
      </c>
      <c r="I22" s="58">
        <v>107</v>
      </c>
      <c r="J22" s="58">
        <v>248</v>
      </c>
      <c r="K22" s="58">
        <v>240</v>
      </c>
      <c r="L22" s="58">
        <v>26</v>
      </c>
      <c r="M22" s="59">
        <v>23</v>
      </c>
      <c r="N22" s="59">
        <v>2</v>
      </c>
      <c r="O22" s="59">
        <v>2</v>
      </c>
      <c r="P22" s="59">
        <v>0</v>
      </c>
      <c r="Q22" s="59">
        <v>0</v>
      </c>
      <c r="R22" s="58">
        <v>3</v>
      </c>
      <c r="S22" s="58">
        <v>3</v>
      </c>
      <c r="T22" s="58">
        <v>8</v>
      </c>
      <c r="U22" s="58">
        <v>5</v>
      </c>
      <c r="V22" s="58">
        <v>7</v>
      </c>
      <c r="W22" s="58">
        <v>7</v>
      </c>
      <c r="X22" s="54"/>
      <c r="Y22" s="54"/>
      <c r="Z22" s="54"/>
      <c r="AA22" s="54"/>
      <c r="AB22" s="54"/>
      <c r="AC22" s="54"/>
      <c r="AD22" s="54"/>
    </row>
    <row r="23" spans="1:30" ht="51">
      <c r="A23" s="73" t="s">
        <v>567</v>
      </c>
      <c r="B23" s="73" t="s">
        <v>579</v>
      </c>
      <c r="C23" s="73" t="s">
        <v>593</v>
      </c>
      <c r="D23" s="58">
        <v>16</v>
      </c>
      <c r="E23" s="58">
        <v>43</v>
      </c>
      <c r="F23" s="58">
        <v>85</v>
      </c>
      <c r="G23" s="58">
        <v>282</v>
      </c>
      <c r="H23" s="58">
        <v>31</v>
      </c>
      <c r="I23" s="58">
        <v>95</v>
      </c>
      <c r="J23" s="58">
        <v>42</v>
      </c>
      <c r="K23" s="58">
        <v>126</v>
      </c>
      <c r="L23" s="58">
        <v>7</v>
      </c>
      <c r="M23" s="59">
        <v>17</v>
      </c>
      <c r="N23" s="59">
        <v>0</v>
      </c>
      <c r="O23" s="59">
        <v>0</v>
      </c>
      <c r="P23" s="59">
        <v>0</v>
      </c>
      <c r="Q23" s="59">
        <v>0</v>
      </c>
      <c r="R23" s="58">
        <v>2</v>
      </c>
      <c r="S23" s="58">
        <v>10</v>
      </c>
      <c r="T23" s="58">
        <v>2</v>
      </c>
      <c r="U23" s="58">
        <v>21</v>
      </c>
      <c r="V23" s="58">
        <v>1</v>
      </c>
      <c r="W23" s="58">
        <v>10</v>
      </c>
      <c r="X23" s="54"/>
      <c r="Y23" s="54"/>
      <c r="Z23" s="54"/>
      <c r="AA23" s="54"/>
      <c r="AB23" s="54"/>
      <c r="AC23" s="54"/>
      <c r="AD23" s="54"/>
    </row>
    <row r="24" spans="1:30" ht="53.25" customHeight="1">
      <c r="A24" s="73" t="s">
        <v>567</v>
      </c>
      <c r="B24" s="73" t="s">
        <v>220</v>
      </c>
      <c r="C24" s="73" t="s">
        <v>418</v>
      </c>
      <c r="D24" s="58">
        <v>35</v>
      </c>
      <c r="E24" s="58">
        <v>38</v>
      </c>
      <c r="F24" s="58">
        <v>143</v>
      </c>
      <c r="G24" s="58">
        <v>134</v>
      </c>
      <c r="H24" s="58">
        <v>0</v>
      </c>
      <c r="I24" s="58">
        <v>0</v>
      </c>
      <c r="J24" s="58">
        <v>0</v>
      </c>
      <c r="K24" s="58">
        <v>0</v>
      </c>
      <c r="L24" s="58">
        <v>29</v>
      </c>
      <c r="M24" s="59">
        <v>46</v>
      </c>
      <c r="N24" s="59">
        <v>2</v>
      </c>
      <c r="O24" s="59">
        <v>5</v>
      </c>
      <c r="P24" s="59">
        <v>0</v>
      </c>
      <c r="Q24" s="59">
        <v>0</v>
      </c>
      <c r="R24" s="58">
        <v>0</v>
      </c>
      <c r="S24" s="58">
        <v>0</v>
      </c>
      <c r="T24" s="58">
        <v>0</v>
      </c>
      <c r="U24" s="58">
        <v>0</v>
      </c>
      <c r="V24" s="58">
        <v>0</v>
      </c>
      <c r="W24" s="58">
        <v>0</v>
      </c>
      <c r="X24" s="54"/>
      <c r="Y24" s="54"/>
      <c r="Z24" s="54"/>
      <c r="AA24" s="54"/>
      <c r="AB24" s="54"/>
      <c r="AC24" s="54"/>
      <c r="AD24" s="54"/>
    </row>
    <row r="25" spans="1:30" ht="49.5" customHeight="1">
      <c r="A25" s="73" t="s">
        <v>567</v>
      </c>
      <c r="B25" s="73" t="s">
        <v>572</v>
      </c>
      <c r="C25" s="73" t="s">
        <v>566</v>
      </c>
      <c r="D25" s="58">
        <v>112</v>
      </c>
      <c r="E25" s="58">
        <v>32</v>
      </c>
      <c r="F25" s="58">
        <v>397</v>
      </c>
      <c r="G25" s="58">
        <v>90</v>
      </c>
      <c r="H25" s="58">
        <v>145</v>
      </c>
      <c r="I25" s="58">
        <v>34</v>
      </c>
      <c r="J25" s="58">
        <v>533</v>
      </c>
      <c r="K25" s="58">
        <v>135</v>
      </c>
      <c r="L25" s="58">
        <v>47</v>
      </c>
      <c r="M25" s="59">
        <v>30</v>
      </c>
      <c r="N25" s="59">
        <v>11</v>
      </c>
      <c r="O25" s="59">
        <v>1</v>
      </c>
      <c r="P25" s="59">
        <v>1</v>
      </c>
      <c r="Q25" s="59">
        <v>0</v>
      </c>
      <c r="R25" s="58">
        <v>2</v>
      </c>
      <c r="S25" s="58">
        <v>0</v>
      </c>
      <c r="T25" s="58">
        <v>14</v>
      </c>
      <c r="U25" s="58">
        <v>1</v>
      </c>
      <c r="V25" s="58">
        <v>33</v>
      </c>
      <c r="W25" s="58">
        <v>9</v>
      </c>
      <c r="X25" s="54"/>
      <c r="Y25" s="54"/>
      <c r="Z25" s="54"/>
      <c r="AA25" s="54"/>
      <c r="AB25" s="54"/>
      <c r="AC25" s="54"/>
      <c r="AD25" s="54"/>
    </row>
    <row r="26" spans="1:30">
      <c r="A26" s="61"/>
      <c r="B26" s="61"/>
      <c r="C26" s="58" t="s">
        <v>126</v>
      </c>
      <c r="D26" s="58">
        <f>SUM(D4:D25)</f>
        <v>1482</v>
      </c>
      <c r="E26" s="58">
        <f t="shared" ref="E26:W26" si="0">SUM(E4:E25)</f>
        <v>1250</v>
      </c>
      <c r="F26" s="58">
        <f t="shared" si="0"/>
        <v>5107</v>
      </c>
      <c r="G26" s="58">
        <f t="shared" si="0"/>
        <v>4713</v>
      </c>
      <c r="H26" s="58">
        <f t="shared" si="0"/>
        <v>1812</v>
      </c>
      <c r="I26" s="58">
        <f t="shared" si="0"/>
        <v>1236</v>
      </c>
      <c r="J26" s="58">
        <f t="shared" si="0"/>
        <v>5336</v>
      </c>
      <c r="K26" s="58">
        <f t="shared" si="0"/>
        <v>2974</v>
      </c>
      <c r="L26" s="58">
        <f t="shared" si="0"/>
        <v>566</v>
      </c>
      <c r="M26" s="58">
        <f t="shared" si="0"/>
        <v>531</v>
      </c>
      <c r="N26" s="58">
        <f t="shared" si="0"/>
        <v>49</v>
      </c>
      <c r="O26" s="58">
        <f t="shared" si="0"/>
        <v>38</v>
      </c>
      <c r="P26" s="58">
        <f t="shared" si="0"/>
        <v>7</v>
      </c>
      <c r="Q26" s="58">
        <f t="shared" si="0"/>
        <v>5</v>
      </c>
      <c r="R26" s="58">
        <f t="shared" si="0"/>
        <v>83</v>
      </c>
      <c r="S26" s="58">
        <f t="shared" si="0"/>
        <v>129</v>
      </c>
      <c r="T26" s="58">
        <f t="shared" si="0"/>
        <v>348</v>
      </c>
      <c r="U26" s="58">
        <f t="shared" si="0"/>
        <v>426</v>
      </c>
      <c r="V26" s="58">
        <f t="shared" si="0"/>
        <v>362</v>
      </c>
      <c r="W26" s="58">
        <f t="shared" si="0"/>
        <v>288</v>
      </c>
    </row>
  </sheetData>
  <mergeCells count="11">
    <mergeCell ref="V2:W2"/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ageMargins left="0.70866141732283472" right="0.70866141732283472" top="0.74803149606299213" bottom="0.15748031496062992" header="0.31496062992125984" footer="0.31496062992125984"/>
  <pageSetup paperSize="9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9"/>
  <sheetViews>
    <sheetView workbookViewId="0">
      <selection activeCell="X1" sqref="X1:X1048576"/>
    </sheetView>
  </sheetViews>
  <sheetFormatPr defaultRowHeight="15"/>
  <cols>
    <col min="1" max="1" width="25" customWidth="1"/>
    <col min="2" max="2" width="64.42578125" customWidth="1"/>
    <col min="3" max="3" width="10.5703125" style="28" customWidth="1"/>
    <col min="4" max="23" width="5.85546875" style="28" customWidth="1"/>
  </cols>
  <sheetData>
    <row r="1" spans="1:23">
      <c r="A1" s="320" t="s">
        <v>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171" customHeight="1">
      <c r="A2" s="53" t="s">
        <v>0</v>
      </c>
      <c r="B2" s="53" t="s">
        <v>4</v>
      </c>
      <c r="C2" s="53" t="s">
        <v>1</v>
      </c>
      <c r="D2" s="361" t="s">
        <v>5</v>
      </c>
      <c r="E2" s="321"/>
      <c r="F2" s="450" t="s">
        <v>2</v>
      </c>
      <c r="G2" s="329"/>
      <c r="H2" s="361" t="s">
        <v>10</v>
      </c>
      <c r="I2" s="321"/>
      <c r="J2" s="326" t="s">
        <v>11</v>
      </c>
      <c r="K2" s="321"/>
      <c r="L2" s="326" t="s">
        <v>9</v>
      </c>
      <c r="M2" s="327"/>
      <c r="N2" s="326" t="s">
        <v>14</v>
      </c>
      <c r="O2" s="327"/>
      <c r="P2" s="326" t="s">
        <v>15</v>
      </c>
      <c r="Q2" s="327"/>
      <c r="R2" s="361" t="s">
        <v>3</v>
      </c>
      <c r="S2" s="321"/>
      <c r="T2" s="361" t="s">
        <v>12</v>
      </c>
      <c r="U2" s="321"/>
      <c r="V2" s="361" t="s">
        <v>13</v>
      </c>
      <c r="W2" s="319"/>
    </row>
    <row r="3" spans="1:23">
      <c r="A3" s="65"/>
      <c r="B3" s="65"/>
      <c r="C3" s="65"/>
      <c r="D3" s="65" t="s">
        <v>6</v>
      </c>
      <c r="E3" s="65" t="s">
        <v>7</v>
      </c>
      <c r="F3" s="65" t="s">
        <v>6</v>
      </c>
      <c r="G3" s="65" t="s">
        <v>7</v>
      </c>
      <c r="H3" s="65" t="s">
        <v>6</v>
      </c>
      <c r="I3" s="65" t="s">
        <v>7</v>
      </c>
      <c r="J3" s="65" t="s">
        <v>6</v>
      </c>
      <c r="K3" s="65" t="s">
        <v>7</v>
      </c>
      <c r="L3" s="65" t="s">
        <v>6</v>
      </c>
      <c r="M3" s="65" t="s">
        <v>7</v>
      </c>
      <c r="N3" s="65" t="s">
        <v>6</v>
      </c>
      <c r="O3" s="65" t="s">
        <v>7</v>
      </c>
      <c r="P3" s="65" t="s">
        <v>6</v>
      </c>
      <c r="Q3" s="65" t="s">
        <v>7</v>
      </c>
      <c r="R3" s="65" t="s">
        <v>6</v>
      </c>
      <c r="S3" s="65" t="s">
        <v>7</v>
      </c>
      <c r="T3" s="65" t="s">
        <v>6</v>
      </c>
      <c r="U3" s="65" t="s">
        <v>7</v>
      </c>
      <c r="V3" s="65" t="s">
        <v>6</v>
      </c>
      <c r="W3" s="65" t="s">
        <v>7</v>
      </c>
    </row>
    <row r="4" spans="1:23">
      <c r="A4" s="57" t="s">
        <v>610</v>
      </c>
      <c r="B4" s="57" t="s">
        <v>611</v>
      </c>
      <c r="C4" s="58" t="s">
        <v>612</v>
      </c>
      <c r="D4" s="58">
        <v>95</v>
      </c>
      <c r="E4" s="58">
        <v>34</v>
      </c>
      <c r="F4" s="58">
        <v>556</v>
      </c>
      <c r="G4" s="58">
        <v>155</v>
      </c>
      <c r="H4" s="58">
        <v>221</v>
      </c>
      <c r="I4" s="58">
        <v>50</v>
      </c>
      <c r="J4" s="58">
        <v>143</v>
      </c>
      <c r="K4" s="58">
        <v>38</v>
      </c>
      <c r="L4" s="58">
        <v>31</v>
      </c>
      <c r="M4" s="59">
        <v>4</v>
      </c>
      <c r="N4" s="59">
        <v>2</v>
      </c>
      <c r="O4" s="59">
        <v>0</v>
      </c>
      <c r="P4" s="59">
        <v>0</v>
      </c>
      <c r="Q4" s="59">
        <v>0</v>
      </c>
      <c r="R4" s="58">
        <v>6</v>
      </c>
      <c r="S4" s="58">
        <v>1</v>
      </c>
      <c r="T4" s="58">
        <v>58</v>
      </c>
      <c r="U4" s="58">
        <v>22</v>
      </c>
      <c r="V4" s="58">
        <v>28</v>
      </c>
      <c r="W4" s="58">
        <v>9</v>
      </c>
    </row>
    <row r="5" spans="1:23">
      <c r="A5" s="58" t="s">
        <v>613</v>
      </c>
      <c r="B5" s="57" t="s">
        <v>614</v>
      </c>
      <c r="C5" s="58" t="s">
        <v>615</v>
      </c>
      <c r="D5" s="58">
        <v>27</v>
      </c>
      <c r="E5" s="58">
        <v>12</v>
      </c>
      <c r="F5" s="58">
        <v>238</v>
      </c>
      <c r="G5" s="58">
        <v>116</v>
      </c>
      <c r="H5" s="58">
        <v>147</v>
      </c>
      <c r="I5" s="58">
        <v>56</v>
      </c>
      <c r="J5" s="58">
        <v>97</v>
      </c>
      <c r="K5" s="58">
        <v>36</v>
      </c>
      <c r="L5" s="58">
        <v>6</v>
      </c>
      <c r="M5" s="59">
        <v>5</v>
      </c>
      <c r="N5" s="59">
        <v>3</v>
      </c>
      <c r="O5" s="59">
        <v>0</v>
      </c>
      <c r="P5" s="59">
        <v>0</v>
      </c>
      <c r="Q5" s="59">
        <v>0</v>
      </c>
      <c r="R5" s="58">
        <v>0</v>
      </c>
      <c r="S5" s="58">
        <v>1</v>
      </c>
      <c r="T5" s="58">
        <v>14</v>
      </c>
      <c r="U5" s="58">
        <v>16</v>
      </c>
      <c r="V5" s="58">
        <v>11</v>
      </c>
      <c r="W5" s="58">
        <v>4</v>
      </c>
    </row>
    <row r="6" spans="1:23">
      <c r="A6" s="58" t="s">
        <v>613</v>
      </c>
      <c r="B6" s="57" t="s">
        <v>616</v>
      </c>
      <c r="C6" s="58" t="s">
        <v>617</v>
      </c>
      <c r="D6" s="58">
        <v>139</v>
      </c>
      <c r="E6" s="58">
        <v>28</v>
      </c>
      <c r="F6" s="58">
        <v>601</v>
      </c>
      <c r="G6" s="58">
        <v>133</v>
      </c>
      <c r="H6" s="58">
        <v>302</v>
      </c>
      <c r="I6" s="58">
        <v>51</v>
      </c>
      <c r="J6" s="58">
        <v>169</v>
      </c>
      <c r="K6" s="58">
        <v>22</v>
      </c>
      <c r="L6" s="58">
        <v>60</v>
      </c>
      <c r="M6" s="59">
        <v>10</v>
      </c>
      <c r="N6" s="59">
        <v>8</v>
      </c>
      <c r="O6" s="59">
        <v>3</v>
      </c>
      <c r="P6" s="59">
        <v>9</v>
      </c>
      <c r="Q6" s="59">
        <v>1</v>
      </c>
      <c r="R6" s="58">
        <v>1</v>
      </c>
      <c r="S6" s="58">
        <v>0</v>
      </c>
      <c r="T6" s="58">
        <v>38</v>
      </c>
      <c r="U6" s="58">
        <v>2</v>
      </c>
      <c r="V6" s="58">
        <v>25</v>
      </c>
      <c r="W6" s="58">
        <v>9</v>
      </c>
    </row>
    <row r="7" spans="1:23">
      <c r="A7" s="58" t="s">
        <v>613</v>
      </c>
      <c r="B7" s="57" t="s">
        <v>618</v>
      </c>
      <c r="C7" s="58" t="s">
        <v>619</v>
      </c>
      <c r="D7" s="58">
        <v>69</v>
      </c>
      <c r="E7" s="58">
        <v>61</v>
      </c>
      <c r="F7" s="58">
        <v>293</v>
      </c>
      <c r="G7" s="58">
        <v>266</v>
      </c>
      <c r="H7" s="58">
        <v>132</v>
      </c>
      <c r="I7" s="58">
        <v>80</v>
      </c>
      <c r="J7" s="58">
        <v>97</v>
      </c>
      <c r="K7" s="58">
        <v>57</v>
      </c>
      <c r="L7" s="58">
        <v>13</v>
      </c>
      <c r="M7" s="59">
        <v>5</v>
      </c>
      <c r="N7" s="59">
        <v>4</v>
      </c>
      <c r="O7" s="59">
        <v>4</v>
      </c>
      <c r="P7" s="59">
        <v>0</v>
      </c>
      <c r="Q7" s="59">
        <v>0</v>
      </c>
      <c r="R7" s="58">
        <v>3</v>
      </c>
      <c r="S7" s="58">
        <v>1</v>
      </c>
      <c r="T7" s="58">
        <v>14</v>
      </c>
      <c r="U7" s="58">
        <v>24</v>
      </c>
      <c r="V7" s="58">
        <v>8</v>
      </c>
      <c r="W7" s="58">
        <v>6</v>
      </c>
    </row>
    <row r="8" spans="1:23">
      <c r="A8" s="58" t="s">
        <v>613</v>
      </c>
      <c r="B8" s="57" t="s">
        <v>620</v>
      </c>
      <c r="C8" s="62" t="s">
        <v>621</v>
      </c>
      <c r="D8" s="58">
        <v>20</v>
      </c>
      <c r="E8" s="58">
        <v>109</v>
      </c>
      <c r="F8" s="58">
        <v>163</v>
      </c>
      <c r="G8" s="58">
        <v>454</v>
      </c>
      <c r="H8" s="58">
        <v>82</v>
      </c>
      <c r="I8" s="58">
        <v>178</v>
      </c>
      <c r="J8" s="58">
        <v>33</v>
      </c>
      <c r="K8" s="58">
        <v>95</v>
      </c>
      <c r="L8" s="58">
        <v>8</v>
      </c>
      <c r="M8" s="59">
        <v>15</v>
      </c>
      <c r="N8" s="59">
        <v>3</v>
      </c>
      <c r="O8" s="59">
        <v>3</v>
      </c>
      <c r="P8" s="59">
        <v>5</v>
      </c>
      <c r="Q8" s="59">
        <v>2</v>
      </c>
      <c r="R8" s="58">
        <v>0</v>
      </c>
      <c r="S8" s="58">
        <v>0</v>
      </c>
      <c r="T8" s="58">
        <v>18</v>
      </c>
      <c r="U8" s="58">
        <v>33</v>
      </c>
      <c r="V8" s="58">
        <v>5</v>
      </c>
      <c r="W8" s="58">
        <v>20</v>
      </c>
    </row>
    <row r="9" spans="1:23">
      <c r="A9" s="60"/>
      <c r="B9" s="57" t="s">
        <v>126</v>
      </c>
      <c r="C9" s="58"/>
      <c r="D9" s="58">
        <f>SUM(D4:D8)</f>
        <v>350</v>
      </c>
      <c r="E9" s="58">
        <f t="shared" ref="E9:W9" si="0">SUM(E4:E8)</f>
        <v>244</v>
      </c>
      <c r="F9" s="58">
        <f t="shared" si="0"/>
        <v>1851</v>
      </c>
      <c r="G9" s="58">
        <f t="shared" si="0"/>
        <v>1124</v>
      </c>
      <c r="H9" s="58">
        <f t="shared" si="0"/>
        <v>884</v>
      </c>
      <c r="I9" s="58">
        <f t="shared" si="0"/>
        <v>415</v>
      </c>
      <c r="J9" s="58">
        <f t="shared" si="0"/>
        <v>539</v>
      </c>
      <c r="K9" s="58">
        <f t="shared" si="0"/>
        <v>248</v>
      </c>
      <c r="L9" s="58">
        <f t="shared" si="0"/>
        <v>118</v>
      </c>
      <c r="M9" s="58">
        <f t="shared" si="0"/>
        <v>39</v>
      </c>
      <c r="N9" s="58">
        <f t="shared" si="0"/>
        <v>20</v>
      </c>
      <c r="O9" s="58">
        <f t="shared" si="0"/>
        <v>10</v>
      </c>
      <c r="P9" s="58">
        <f t="shared" si="0"/>
        <v>14</v>
      </c>
      <c r="Q9" s="58">
        <f t="shared" si="0"/>
        <v>3</v>
      </c>
      <c r="R9" s="58">
        <f t="shared" si="0"/>
        <v>10</v>
      </c>
      <c r="S9" s="58">
        <f t="shared" si="0"/>
        <v>3</v>
      </c>
      <c r="T9" s="58">
        <f t="shared" si="0"/>
        <v>142</v>
      </c>
      <c r="U9" s="58">
        <f t="shared" si="0"/>
        <v>97</v>
      </c>
      <c r="V9" s="58">
        <f t="shared" si="0"/>
        <v>77</v>
      </c>
      <c r="W9" s="58">
        <f t="shared" si="0"/>
        <v>48</v>
      </c>
    </row>
    <row r="10" spans="1:23">
      <c r="M10" s="63"/>
      <c r="N10" s="63"/>
      <c r="O10" s="63"/>
      <c r="P10" s="63"/>
      <c r="Q10" s="63"/>
    </row>
    <row r="11" spans="1:23">
      <c r="M11" s="63"/>
      <c r="N11" s="63"/>
      <c r="O11" s="63"/>
      <c r="P11" s="63"/>
      <c r="Q11" s="63"/>
    </row>
    <row r="12" spans="1:23">
      <c r="M12" s="63"/>
      <c r="N12" s="63"/>
      <c r="O12" s="63"/>
      <c r="P12" s="63"/>
      <c r="Q12" s="63"/>
    </row>
    <row r="13" spans="1:23">
      <c r="M13" s="63"/>
      <c r="N13" s="63"/>
      <c r="O13" s="63"/>
      <c r="P13" s="63"/>
      <c r="Q13" s="63"/>
    </row>
    <row r="14" spans="1:23">
      <c r="M14" s="63"/>
      <c r="N14" s="63"/>
      <c r="O14" s="63"/>
      <c r="P14" s="63"/>
      <c r="Q14" s="63"/>
    </row>
    <row r="15" spans="1:23">
      <c r="M15" s="63"/>
      <c r="N15" s="63"/>
      <c r="O15" s="63"/>
      <c r="P15" s="63"/>
      <c r="Q15" s="63"/>
    </row>
    <row r="16" spans="1:23">
      <c r="M16" s="63"/>
      <c r="N16" s="63"/>
      <c r="O16" s="63"/>
      <c r="P16" s="63"/>
      <c r="Q16" s="63"/>
    </row>
    <row r="17" spans="13:17">
      <c r="M17" s="63"/>
      <c r="N17" s="63"/>
      <c r="O17" s="63"/>
      <c r="P17" s="63"/>
      <c r="Q17" s="63"/>
    </row>
    <row r="18" spans="13:17">
      <c r="M18" s="63"/>
      <c r="N18" s="63"/>
      <c r="O18" s="63"/>
      <c r="P18" s="63"/>
      <c r="Q18" s="63"/>
    </row>
    <row r="19" spans="13:17">
      <c r="M19" s="63"/>
      <c r="N19" s="63"/>
      <c r="O19" s="63"/>
      <c r="P19" s="63"/>
      <c r="Q19" s="63"/>
    </row>
  </sheetData>
  <mergeCells count="11">
    <mergeCell ref="V2:W2"/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ageMargins left="0.25" right="0.25" top="0.75" bottom="0.75" header="0.3" footer="0.3"/>
  <pageSetup paperSize="9" scale="5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99"/>
  <sheetViews>
    <sheetView workbookViewId="0">
      <selection activeCell="X1" sqref="X1:X1048576"/>
    </sheetView>
  </sheetViews>
  <sheetFormatPr defaultColWidth="14.42578125" defaultRowHeight="15" customHeight="1"/>
  <cols>
    <col min="1" max="1" width="20.5703125" style="50" customWidth="1"/>
    <col min="2" max="2" width="25.28515625" style="50" customWidth="1"/>
    <col min="3" max="3" width="26.5703125" style="50" customWidth="1"/>
    <col min="4" max="23" width="5.85546875" style="56" customWidth="1"/>
    <col min="24" max="16384" width="14.42578125" style="50"/>
  </cols>
  <sheetData>
    <row r="1" spans="1:23">
      <c r="A1" s="456" t="s">
        <v>8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8"/>
    </row>
    <row r="2" spans="1:23" ht="124.5" customHeight="1">
      <c r="A2" s="66" t="s">
        <v>0</v>
      </c>
      <c r="B2" s="66" t="s">
        <v>4</v>
      </c>
      <c r="C2" s="66" t="s">
        <v>1</v>
      </c>
      <c r="D2" s="451" t="s">
        <v>5</v>
      </c>
      <c r="E2" s="452"/>
      <c r="F2" s="451" t="s">
        <v>2</v>
      </c>
      <c r="G2" s="452"/>
      <c r="H2" s="451" t="s">
        <v>622</v>
      </c>
      <c r="I2" s="452"/>
      <c r="J2" s="459" t="s">
        <v>623</v>
      </c>
      <c r="K2" s="452"/>
      <c r="L2" s="451" t="s">
        <v>595</v>
      </c>
      <c r="M2" s="452"/>
      <c r="N2" s="451" t="s">
        <v>14</v>
      </c>
      <c r="O2" s="452"/>
      <c r="P2" s="451" t="s">
        <v>15</v>
      </c>
      <c r="Q2" s="452"/>
      <c r="R2" s="451" t="s">
        <v>3</v>
      </c>
      <c r="S2" s="452"/>
      <c r="T2" s="451" t="s">
        <v>624</v>
      </c>
      <c r="U2" s="452"/>
      <c r="V2" s="451" t="s">
        <v>625</v>
      </c>
      <c r="W2" s="452"/>
    </row>
    <row r="3" spans="1:23" s="72" customFormat="1">
      <c r="A3" s="70"/>
      <c r="B3" s="70"/>
      <c r="C3" s="70"/>
      <c r="D3" s="71" t="s">
        <v>6</v>
      </c>
      <c r="E3" s="71" t="s">
        <v>7</v>
      </c>
      <c r="F3" s="71" t="s">
        <v>6</v>
      </c>
      <c r="G3" s="71" t="s">
        <v>7</v>
      </c>
      <c r="H3" s="71" t="s">
        <v>6</v>
      </c>
      <c r="I3" s="71" t="s">
        <v>7</v>
      </c>
      <c r="J3" s="71" t="s">
        <v>6</v>
      </c>
      <c r="K3" s="71" t="s">
        <v>7</v>
      </c>
      <c r="L3" s="71" t="s">
        <v>6</v>
      </c>
      <c r="M3" s="71" t="s">
        <v>7</v>
      </c>
      <c r="N3" s="71" t="s">
        <v>6</v>
      </c>
      <c r="O3" s="71" t="s">
        <v>7</v>
      </c>
      <c r="P3" s="71" t="s">
        <v>6</v>
      </c>
      <c r="Q3" s="71" t="s">
        <v>7</v>
      </c>
      <c r="R3" s="71" t="s">
        <v>6</v>
      </c>
      <c r="S3" s="71" t="s">
        <v>7</v>
      </c>
      <c r="T3" s="71" t="s">
        <v>6</v>
      </c>
      <c r="U3" s="71" t="s">
        <v>7</v>
      </c>
      <c r="V3" s="71" t="s">
        <v>6</v>
      </c>
      <c r="W3" s="71" t="s">
        <v>7</v>
      </c>
    </row>
    <row r="4" spans="1:23" ht="25.5">
      <c r="A4" s="67" t="s">
        <v>626</v>
      </c>
      <c r="B4" s="67" t="s">
        <v>627</v>
      </c>
      <c r="C4" s="67" t="s">
        <v>628</v>
      </c>
      <c r="D4" s="68">
        <v>115</v>
      </c>
      <c r="E4" s="68">
        <v>26</v>
      </c>
      <c r="F4" s="68">
        <v>481</v>
      </c>
      <c r="G4" s="68">
        <v>97</v>
      </c>
      <c r="H4" s="68">
        <v>130</v>
      </c>
      <c r="I4" s="68">
        <v>36</v>
      </c>
      <c r="J4" s="68">
        <v>256</v>
      </c>
      <c r="K4" s="68">
        <v>56</v>
      </c>
      <c r="L4" s="68">
        <v>11</v>
      </c>
      <c r="M4" s="68">
        <v>2</v>
      </c>
      <c r="N4" s="68">
        <v>15</v>
      </c>
      <c r="O4" s="68">
        <v>1</v>
      </c>
      <c r="P4" s="68">
        <v>0</v>
      </c>
      <c r="Q4" s="68">
        <v>0</v>
      </c>
      <c r="R4" s="68">
        <v>17</v>
      </c>
      <c r="S4" s="68">
        <v>7</v>
      </c>
      <c r="T4" s="68">
        <v>18</v>
      </c>
      <c r="U4" s="68">
        <v>9</v>
      </c>
      <c r="V4" s="68">
        <v>23</v>
      </c>
      <c r="W4" s="68">
        <v>5</v>
      </c>
    </row>
    <row r="5" spans="1:23" ht="25.5">
      <c r="A5" s="67" t="s">
        <v>626</v>
      </c>
      <c r="B5" s="67" t="s">
        <v>629</v>
      </c>
      <c r="C5" s="67" t="s">
        <v>630</v>
      </c>
      <c r="D5" s="68">
        <v>10</v>
      </c>
      <c r="E5" s="68">
        <v>70</v>
      </c>
      <c r="F5" s="68">
        <v>74</v>
      </c>
      <c r="G5" s="68">
        <v>332</v>
      </c>
      <c r="H5" s="68">
        <v>20</v>
      </c>
      <c r="I5" s="68">
        <v>61</v>
      </c>
      <c r="J5" s="68">
        <v>84</v>
      </c>
      <c r="K5" s="68">
        <v>149</v>
      </c>
      <c r="L5" s="68">
        <v>5</v>
      </c>
      <c r="M5" s="68">
        <v>10</v>
      </c>
      <c r="N5" s="68">
        <v>2</v>
      </c>
      <c r="O5" s="68">
        <v>10</v>
      </c>
      <c r="P5" s="68">
        <v>0</v>
      </c>
      <c r="Q5" s="68">
        <v>0</v>
      </c>
      <c r="R5" s="68">
        <v>3</v>
      </c>
      <c r="S5" s="68">
        <v>22</v>
      </c>
      <c r="T5" s="68">
        <v>3</v>
      </c>
      <c r="U5" s="68">
        <v>29</v>
      </c>
      <c r="V5" s="68">
        <v>1</v>
      </c>
      <c r="W5" s="68">
        <v>13</v>
      </c>
    </row>
    <row r="6" spans="1:23" ht="38.25">
      <c r="A6" s="67" t="s">
        <v>626</v>
      </c>
      <c r="B6" s="67" t="s">
        <v>631</v>
      </c>
      <c r="C6" s="67" t="s">
        <v>632</v>
      </c>
      <c r="D6" s="68">
        <v>36</v>
      </c>
      <c r="E6" s="68">
        <v>60</v>
      </c>
      <c r="F6" s="68">
        <v>150</v>
      </c>
      <c r="G6" s="68">
        <v>224</v>
      </c>
      <c r="H6" s="68">
        <v>39</v>
      </c>
      <c r="I6" s="68">
        <v>31</v>
      </c>
      <c r="J6" s="68">
        <v>98</v>
      </c>
      <c r="K6" s="68">
        <v>142</v>
      </c>
      <c r="L6" s="68">
        <v>1</v>
      </c>
      <c r="M6" s="68">
        <v>4</v>
      </c>
      <c r="N6" s="68">
        <v>0</v>
      </c>
      <c r="O6" s="68">
        <v>3</v>
      </c>
      <c r="P6" s="68">
        <v>0</v>
      </c>
      <c r="Q6" s="68">
        <v>0</v>
      </c>
      <c r="R6" s="68">
        <v>7</v>
      </c>
      <c r="S6" s="68">
        <v>11</v>
      </c>
      <c r="T6" s="68">
        <v>11</v>
      </c>
      <c r="U6" s="68">
        <v>12</v>
      </c>
      <c r="V6" s="68">
        <v>5</v>
      </c>
      <c r="W6" s="68">
        <v>8</v>
      </c>
    </row>
    <row r="7" spans="1:23" ht="39" thickBot="1">
      <c r="A7" s="67" t="s">
        <v>626</v>
      </c>
      <c r="B7" s="67" t="s">
        <v>631</v>
      </c>
      <c r="C7" s="67" t="s">
        <v>633</v>
      </c>
      <c r="D7" s="68">
        <v>39</v>
      </c>
      <c r="E7" s="68">
        <v>50</v>
      </c>
      <c r="F7" s="68">
        <v>210</v>
      </c>
      <c r="G7" s="68">
        <v>157</v>
      </c>
      <c r="H7" s="68">
        <v>65</v>
      </c>
      <c r="I7" s="68">
        <v>68</v>
      </c>
      <c r="J7" s="68">
        <v>257</v>
      </c>
      <c r="K7" s="68">
        <v>218</v>
      </c>
      <c r="L7" s="68">
        <v>10</v>
      </c>
      <c r="M7" s="68">
        <v>8</v>
      </c>
      <c r="N7" s="68">
        <v>3</v>
      </c>
      <c r="O7" s="68">
        <v>4</v>
      </c>
      <c r="P7" s="68">
        <v>0</v>
      </c>
      <c r="Q7" s="68">
        <v>0</v>
      </c>
      <c r="R7" s="68">
        <v>3</v>
      </c>
      <c r="S7" s="68">
        <v>9</v>
      </c>
      <c r="T7" s="68">
        <v>9</v>
      </c>
      <c r="U7" s="68">
        <v>15</v>
      </c>
      <c r="V7" s="68">
        <v>14</v>
      </c>
      <c r="W7" s="68">
        <v>4</v>
      </c>
    </row>
    <row r="8" spans="1:23" ht="16.5" thickBot="1">
      <c r="A8" s="453" t="s">
        <v>212</v>
      </c>
      <c r="B8" s="454"/>
      <c r="C8" s="455"/>
      <c r="D8" s="69">
        <f t="shared" ref="D8:W8" si="0">SUM(D4:D7)</f>
        <v>200</v>
      </c>
      <c r="E8" s="69">
        <f t="shared" si="0"/>
        <v>206</v>
      </c>
      <c r="F8" s="69">
        <f t="shared" si="0"/>
        <v>915</v>
      </c>
      <c r="G8" s="69">
        <f t="shared" si="0"/>
        <v>810</v>
      </c>
      <c r="H8" s="69">
        <f t="shared" si="0"/>
        <v>254</v>
      </c>
      <c r="I8" s="69">
        <f t="shared" si="0"/>
        <v>196</v>
      </c>
      <c r="J8" s="69">
        <f t="shared" si="0"/>
        <v>695</v>
      </c>
      <c r="K8" s="69">
        <f t="shared" si="0"/>
        <v>565</v>
      </c>
      <c r="L8" s="69">
        <f t="shared" si="0"/>
        <v>27</v>
      </c>
      <c r="M8" s="69">
        <f t="shared" si="0"/>
        <v>24</v>
      </c>
      <c r="N8" s="69">
        <f t="shared" si="0"/>
        <v>20</v>
      </c>
      <c r="O8" s="69">
        <f t="shared" si="0"/>
        <v>18</v>
      </c>
      <c r="P8" s="69">
        <f t="shared" si="0"/>
        <v>0</v>
      </c>
      <c r="Q8" s="69">
        <f t="shared" si="0"/>
        <v>0</v>
      </c>
      <c r="R8" s="69">
        <f t="shared" si="0"/>
        <v>30</v>
      </c>
      <c r="S8" s="69">
        <f t="shared" si="0"/>
        <v>49</v>
      </c>
      <c r="T8" s="69">
        <f t="shared" si="0"/>
        <v>41</v>
      </c>
      <c r="U8" s="69">
        <f t="shared" si="0"/>
        <v>65</v>
      </c>
      <c r="V8" s="69">
        <f t="shared" si="0"/>
        <v>43</v>
      </c>
      <c r="W8" s="69">
        <f t="shared" si="0"/>
        <v>30</v>
      </c>
    </row>
    <row r="9" spans="1:23">
      <c r="B9" s="55"/>
      <c r="C9" s="55"/>
    </row>
    <row r="10" spans="1:23">
      <c r="B10" s="55"/>
      <c r="C10" s="55"/>
    </row>
    <row r="11" spans="1:23">
      <c r="B11" s="55"/>
      <c r="C11" s="55"/>
    </row>
    <row r="12" spans="1:23">
      <c r="B12" s="55"/>
      <c r="C12" s="55"/>
    </row>
    <row r="13" spans="1:23">
      <c r="B13" s="55"/>
      <c r="C13" s="55"/>
    </row>
    <row r="14" spans="1:23">
      <c r="B14" s="55"/>
      <c r="C14" s="55"/>
    </row>
    <row r="15" spans="1:23">
      <c r="B15" s="55"/>
      <c r="C15" s="55"/>
    </row>
    <row r="16" spans="1:23">
      <c r="B16" s="55"/>
      <c r="C16" s="55"/>
    </row>
    <row r="17" spans="2:3">
      <c r="B17" s="55"/>
      <c r="C17" s="55"/>
    </row>
    <row r="18" spans="2:3">
      <c r="B18" s="55"/>
      <c r="C18" s="55"/>
    </row>
    <row r="19" spans="2:3">
      <c r="B19" s="55"/>
      <c r="C19" s="55"/>
    </row>
    <row r="20" spans="2:3" ht="15.75" customHeight="1">
      <c r="B20" s="55"/>
      <c r="C20" s="55"/>
    </row>
    <row r="21" spans="2:3" ht="15.75" customHeight="1">
      <c r="B21" s="55"/>
      <c r="C21" s="55"/>
    </row>
    <row r="22" spans="2:3" ht="15.75" customHeight="1">
      <c r="B22" s="55"/>
      <c r="C22" s="55"/>
    </row>
    <row r="23" spans="2:3" ht="15.75" customHeight="1">
      <c r="B23" s="55"/>
      <c r="C23" s="55"/>
    </row>
    <row r="24" spans="2:3" ht="15.75" customHeight="1">
      <c r="B24" s="55"/>
      <c r="C24" s="55"/>
    </row>
    <row r="25" spans="2:3" ht="15.75" customHeight="1">
      <c r="B25" s="55"/>
      <c r="C25" s="55"/>
    </row>
    <row r="26" spans="2:3" ht="15.75" customHeight="1">
      <c r="B26" s="55"/>
      <c r="C26" s="55"/>
    </row>
    <row r="27" spans="2:3" ht="15.75" customHeight="1">
      <c r="B27" s="55"/>
      <c r="C27" s="55"/>
    </row>
    <row r="28" spans="2:3" ht="15.75" customHeight="1">
      <c r="B28" s="55"/>
      <c r="C28" s="55"/>
    </row>
    <row r="29" spans="2:3" ht="15.75" customHeight="1">
      <c r="B29" s="55"/>
      <c r="C29" s="55"/>
    </row>
    <row r="30" spans="2:3" ht="15.75" customHeight="1">
      <c r="B30" s="55"/>
      <c r="C30" s="55"/>
    </row>
    <row r="31" spans="2:3" ht="15.75" customHeight="1">
      <c r="B31" s="55"/>
      <c r="C31" s="55"/>
    </row>
    <row r="32" spans="2:3" ht="15.75" customHeight="1">
      <c r="B32" s="55"/>
      <c r="C32" s="55"/>
    </row>
    <row r="33" spans="2:3" ht="15.75" customHeight="1">
      <c r="B33" s="55"/>
      <c r="C33" s="55"/>
    </row>
    <row r="34" spans="2:3" ht="15.75" customHeight="1">
      <c r="B34" s="55"/>
      <c r="C34" s="55"/>
    </row>
    <row r="35" spans="2:3" ht="15.75" customHeight="1">
      <c r="B35" s="55"/>
      <c r="C35" s="55"/>
    </row>
    <row r="36" spans="2:3" ht="15.75" customHeight="1">
      <c r="B36" s="55"/>
      <c r="C36" s="55"/>
    </row>
    <row r="37" spans="2:3" ht="15.75" customHeight="1">
      <c r="B37" s="55"/>
      <c r="C37" s="55"/>
    </row>
    <row r="38" spans="2:3" ht="15.75" customHeight="1">
      <c r="B38" s="55"/>
      <c r="C38" s="55"/>
    </row>
    <row r="39" spans="2:3" ht="15.75" customHeight="1">
      <c r="B39" s="55"/>
      <c r="C39" s="55"/>
    </row>
    <row r="40" spans="2:3" ht="15.75" customHeight="1">
      <c r="B40" s="55"/>
      <c r="C40" s="55"/>
    </row>
    <row r="41" spans="2:3" ht="15.75" customHeight="1">
      <c r="B41" s="55"/>
      <c r="C41" s="55"/>
    </row>
    <row r="42" spans="2:3" ht="15.75" customHeight="1">
      <c r="B42" s="55"/>
      <c r="C42" s="55"/>
    </row>
    <row r="43" spans="2:3" ht="15.75" customHeight="1">
      <c r="B43" s="55"/>
      <c r="C43" s="55"/>
    </row>
    <row r="44" spans="2:3" ht="15.75" customHeight="1">
      <c r="B44" s="55"/>
      <c r="C44" s="55"/>
    </row>
    <row r="45" spans="2:3" ht="15.75" customHeight="1">
      <c r="B45" s="55"/>
      <c r="C45" s="55"/>
    </row>
    <row r="46" spans="2:3" ht="15.75" customHeight="1">
      <c r="B46" s="55"/>
      <c r="C46" s="55"/>
    </row>
    <row r="47" spans="2:3" ht="15.75" customHeight="1">
      <c r="B47" s="55"/>
      <c r="C47" s="55"/>
    </row>
    <row r="48" spans="2:3" ht="15.75" customHeight="1">
      <c r="B48" s="55"/>
      <c r="C48" s="55"/>
    </row>
    <row r="49" spans="2:3" ht="15.75" customHeight="1">
      <c r="B49" s="55"/>
      <c r="C49" s="55"/>
    </row>
    <row r="50" spans="2:3" ht="15.75" customHeight="1">
      <c r="B50" s="55"/>
      <c r="C50" s="55"/>
    </row>
    <row r="51" spans="2:3" ht="15.75" customHeight="1">
      <c r="B51" s="55"/>
      <c r="C51" s="55"/>
    </row>
    <row r="52" spans="2:3" ht="15.75" customHeight="1">
      <c r="B52" s="55"/>
      <c r="C52" s="55"/>
    </row>
    <row r="53" spans="2:3" ht="15.75" customHeight="1">
      <c r="B53" s="55"/>
      <c r="C53" s="55"/>
    </row>
    <row r="54" spans="2:3" ht="15.75" customHeight="1">
      <c r="B54" s="55"/>
      <c r="C54" s="55"/>
    </row>
    <row r="55" spans="2:3" ht="15.75" customHeight="1">
      <c r="B55" s="55"/>
      <c r="C55" s="55"/>
    </row>
    <row r="56" spans="2:3" ht="15.75" customHeight="1">
      <c r="B56" s="55"/>
      <c r="C56" s="55"/>
    </row>
    <row r="57" spans="2:3" ht="15.75" customHeight="1">
      <c r="B57" s="55"/>
      <c r="C57" s="55"/>
    </row>
    <row r="58" spans="2:3" ht="15.75" customHeight="1">
      <c r="B58" s="55"/>
      <c r="C58" s="55"/>
    </row>
    <row r="59" spans="2:3" ht="15.75" customHeight="1">
      <c r="B59" s="55"/>
      <c r="C59" s="55"/>
    </row>
    <row r="60" spans="2:3" ht="15.75" customHeight="1">
      <c r="B60" s="55"/>
      <c r="C60" s="55"/>
    </row>
    <row r="61" spans="2:3" ht="15.75" customHeight="1">
      <c r="B61" s="55"/>
      <c r="C61" s="55"/>
    </row>
    <row r="62" spans="2:3" ht="15.75" customHeight="1">
      <c r="B62" s="55"/>
      <c r="C62" s="55"/>
    </row>
    <row r="63" spans="2:3" ht="15.75" customHeight="1">
      <c r="B63" s="55"/>
      <c r="C63" s="55"/>
    </row>
    <row r="64" spans="2:3" ht="15.75" customHeight="1">
      <c r="B64" s="55"/>
      <c r="C64" s="55"/>
    </row>
    <row r="65" spans="2:3" ht="15.75" customHeight="1">
      <c r="B65" s="55"/>
      <c r="C65" s="55"/>
    </row>
    <row r="66" spans="2:3" ht="15.75" customHeight="1">
      <c r="B66" s="55"/>
      <c r="C66" s="55"/>
    </row>
    <row r="67" spans="2:3" ht="15.75" customHeight="1">
      <c r="B67" s="55"/>
      <c r="C67" s="55"/>
    </row>
    <row r="68" spans="2:3" ht="15.75" customHeight="1">
      <c r="B68" s="55"/>
      <c r="C68" s="55"/>
    </row>
    <row r="69" spans="2:3" ht="15.75" customHeight="1">
      <c r="B69" s="55"/>
      <c r="C69" s="55"/>
    </row>
    <row r="70" spans="2:3" ht="15.75" customHeight="1">
      <c r="B70" s="55"/>
      <c r="C70" s="55"/>
    </row>
    <row r="71" spans="2:3" ht="15.75" customHeight="1">
      <c r="B71" s="55"/>
      <c r="C71" s="55"/>
    </row>
    <row r="72" spans="2:3" ht="15.75" customHeight="1">
      <c r="B72" s="55"/>
      <c r="C72" s="55"/>
    </row>
    <row r="73" spans="2:3" ht="15.75" customHeight="1">
      <c r="B73" s="55"/>
      <c r="C73" s="55"/>
    </row>
    <row r="74" spans="2:3" ht="15.75" customHeight="1">
      <c r="B74" s="55"/>
      <c r="C74" s="55"/>
    </row>
    <row r="75" spans="2:3" ht="15.75" customHeight="1">
      <c r="B75" s="55"/>
      <c r="C75" s="55"/>
    </row>
    <row r="76" spans="2:3" ht="15.75" customHeight="1">
      <c r="B76" s="55"/>
      <c r="C76" s="55"/>
    </row>
    <row r="77" spans="2:3" ht="15.75" customHeight="1">
      <c r="B77" s="55"/>
      <c r="C77" s="55"/>
    </row>
    <row r="78" spans="2:3" ht="15.75" customHeight="1">
      <c r="B78" s="55"/>
      <c r="C78" s="55"/>
    </row>
    <row r="79" spans="2:3" ht="15.75" customHeight="1">
      <c r="B79" s="55"/>
      <c r="C79" s="55"/>
    </row>
    <row r="80" spans="2:3" ht="15.75" customHeight="1">
      <c r="B80" s="55"/>
      <c r="C80" s="55"/>
    </row>
    <row r="81" spans="2:3" ht="15.75" customHeight="1">
      <c r="B81" s="55"/>
      <c r="C81" s="55"/>
    </row>
    <row r="82" spans="2:3" ht="15.75" customHeight="1">
      <c r="B82" s="55"/>
      <c r="C82" s="55"/>
    </row>
    <row r="83" spans="2:3" ht="15.75" customHeight="1">
      <c r="B83" s="55"/>
      <c r="C83" s="55"/>
    </row>
    <row r="84" spans="2:3" ht="15.75" customHeight="1">
      <c r="B84" s="55"/>
      <c r="C84" s="55"/>
    </row>
    <row r="85" spans="2:3" ht="15.75" customHeight="1">
      <c r="B85" s="55"/>
      <c r="C85" s="55"/>
    </row>
    <row r="86" spans="2:3" ht="15.75" customHeight="1">
      <c r="B86" s="55"/>
      <c r="C86" s="55"/>
    </row>
    <row r="87" spans="2:3" ht="15.75" customHeight="1">
      <c r="B87" s="55"/>
      <c r="C87" s="55"/>
    </row>
    <row r="88" spans="2:3" ht="15.75" customHeight="1">
      <c r="B88" s="55"/>
      <c r="C88" s="55"/>
    </row>
    <row r="89" spans="2:3" ht="15.75" customHeight="1">
      <c r="B89" s="55"/>
      <c r="C89" s="55"/>
    </row>
    <row r="90" spans="2:3" ht="15.75" customHeight="1">
      <c r="B90" s="55"/>
      <c r="C90" s="55"/>
    </row>
    <row r="91" spans="2:3" ht="15.75" customHeight="1">
      <c r="B91" s="55"/>
      <c r="C91" s="55"/>
    </row>
    <row r="92" spans="2:3" ht="15.75" customHeight="1">
      <c r="B92" s="55"/>
      <c r="C92" s="55"/>
    </row>
    <row r="93" spans="2:3" ht="15.75" customHeight="1">
      <c r="B93" s="55"/>
      <c r="C93" s="55"/>
    </row>
    <row r="94" spans="2:3" ht="15.75" customHeight="1">
      <c r="B94" s="55"/>
      <c r="C94" s="55"/>
    </row>
    <row r="95" spans="2:3" ht="15.75" customHeight="1">
      <c r="B95" s="55"/>
      <c r="C95" s="55"/>
    </row>
    <row r="96" spans="2:3" ht="15.75" customHeight="1">
      <c r="B96" s="55"/>
      <c r="C96" s="55"/>
    </row>
    <row r="97" spans="2:3" ht="15.75" customHeight="1">
      <c r="B97" s="55"/>
      <c r="C97" s="55"/>
    </row>
    <row r="98" spans="2:3" ht="15.75" customHeight="1">
      <c r="B98" s="55"/>
      <c r="C98" s="55"/>
    </row>
    <row r="99" spans="2:3" ht="15.75" customHeight="1">
      <c r="B99" s="55"/>
      <c r="C99" s="55"/>
    </row>
    <row r="100" spans="2:3" ht="15.75" customHeight="1">
      <c r="B100" s="55"/>
      <c r="C100" s="55"/>
    </row>
    <row r="101" spans="2:3" ht="15.75" customHeight="1">
      <c r="B101" s="55"/>
      <c r="C101" s="55"/>
    </row>
    <row r="102" spans="2:3" ht="15.75" customHeight="1">
      <c r="B102" s="55"/>
      <c r="C102" s="55"/>
    </row>
    <row r="103" spans="2:3" ht="15.75" customHeight="1">
      <c r="B103" s="55"/>
      <c r="C103" s="55"/>
    </row>
    <row r="104" spans="2:3" ht="15.75" customHeight="1">
      <c r="B104" s="55"/>
      <c r="C104" s="55"/>
    </row>
    <row r="105" spans="2:3" ht="15.75" customHeight="1">
      <c r="B105" s="55"/>
      <c r="C105" s="55"/>
    </row>
    <row r="106" spans="2:3" ht="15.75" customHeight="1">
      <c r="B106" s="55"/>
      <c r="C106" s="55"/>
    </row>
    <row r="107" spans="2:3" ht="15.75" customHeight="1">
      <c r="B107" s="55"/>
      <c r="C107" s="55"/>
    </row>
    <row r="108" spans="2:3" ht="15.75" customHeight="1">
      <c r="B108" s="55"/>
      <c r="C108" s="55"/>
    </row>
    <row r="109" spans="2:3" ht="15.75" customHeight="1">
      <c r="B109" s="55"/>
      <c r="C109" s="55"/>
    </row>
    <row r="110" spans="2:3" ht="15.75" customHeight="1">
      <c r="B110" s="55"/>
      <c r="C110" s="55"/>
    </row>
    <row r="111" spans="2:3" ht="15.75" customHeight="1">
      <c r="B111" s="55"/>
      <c r="C111" s="55"/>
    </row>
    <row r="112" spans="2:3" ht="15.75" customHeight="1">
      <c r="B112" s="55"/>
      <c r="C112" s="55"/>
    </row>
    <row r="113" spans="2:3" ht="15.75" customHeight="1">
      <c r="B113" s="55"/>
      <c r="C113" s="55"/>
    </row>
    <row r="114" spans="2:3" ht="15.75" customHeight="1">
      <c r="B114" s="55"/>
      <c r="C114" s="55"/>
    </row>
    <row r="115" spans="2:3" ht="15.75" customHeight="1">
      <c r="B115" s="55"/>
      <c r="C115" s="55"/>
    </row>
    <row r="116" spans="2:3" ht="15.75" customHeight="1">
      <c r="B116" s="55"/>
      <c r="C116" s="55"/>
    </row>
    <row r="117" spans="2:3" ht="15.75" customHeight="1">
      <c r="B117" s="55"/>
      <c r="C117" s="55"/>
    </row>
    <row r="118" spans="2:3" ht="15.75" customHeight="1">
      <c r="B118" s="55"/>
      <c r="C118" s="55"/>
    </row>
    <row r="119" spans="2:3" ht="15.75" customHeight="1">
      <c r="B119" s="55"/>
      <c r="C119" s="55"/>
    </row>
    <row r="120" spans="2:3" ht="15.75" customHeight="1">
      <c r="B120" s="55"/>
      <c r="C120" s="55"/>
    </row>
    <row r="121" spans="2:3" ht="15.75" customHeight="1">
      <c r="B121" s="55"/>
      <c r="C121" s="55"/>
    </row>
    <row r="122" spans="2:3" ht="15.75" customHeight="1">
      <c r="B122" s="55"/>
      <c r="C122" s="55"/>
    </row>
    <row r="123" spans="2:3" ht="15.75" customHeight="1">
      <c r="B123" s="55"/>
      <c r="C123" s="55"/>
    </row>
    <row r="124" spans="2:3" ht="15.75" customHeight="1">
      <c r="B124" s="55"/>
      <c r="C124" s="55"/>
    </row>
    <row r="125" spans="2:3" ht="15.75" customHeight="1">
      <c r="B125" s="55"/>
      <c r="C125" s="55"/>
    </row>
    <row r="126" spans="2:3" ht="15.75" customHeight="1">
      <c r="B126" s="55"/>
      <c r="C126" s="55"/>
    </row>
    <row r="127" spans="2:3" ht="15.75" customHeight="1">
      <c r="B127" s="55"/>
      <c r="C127" s="55"/>
    </row>
    <row r="128" spans="2:3" ht="15.75" customHeight="1">
      <c r="B128" s="55"/>
      <c r="C128" s="55"/>
    </row>
    <row r="129" spans="2:3" ht="15.75" customHeight="1">
      <c r="B129" s="55"/>
      <c r="C129" s="55"/>
    </row>
    <row r="130" spans="2:3" ht="15.75" customHeight="1">
      <c r="B130" s="55"/>
      <c r="C130" s="55"/>
    </row>
    <row r="131" spans="2:3" ht="15.75" customHeight="1">
      <c r="B131" s="55"/>
      <c r="C131" s="55"/>
    </row>
    <row r="132" spans="2:3" ht="15.75" customHeight="1">
      <c r="B132" s="55"/>
      <c r="C132" s="55"/>
    </row>
    <row r="133" spans="2:3" ht="15.75" customHeight="1">
      <c r="B133" s="55"/>
      <c r="C133" s="55"/>
    </row>
    <row r="134" spans="2:3" ht="15.75" customHeight="1">
      <c r="B134" s="55"/>
      <c r="C134" s="55"/>
    </row>
    <row r="135" spans="2:3" ht="15.75" customHeight="1">
      <c r="B135" s="55"/>
      <c r="C135" s="55"/>
    </row>
    <row r="136" spans="2:3" ht="15.75" customHeight="1">
      <c r="B136" s="55"/>
      <c r="C136" s="55"/>
    </row>
    <row r="137" spans="2:3" ht="15.75" customHeight="1">
      <c r="B137" s="55"/>
      <c r="C137" s="55"/>
    </row>
    <row r="138" spans="2:3" ht="15.75" customHeight="1">
      <c r="B138" s="55"/>
      <c r="C138" s="55"/>
    </row>
    <row r="139" spans="2:3" ht="15.75" customHeight="1">
      <c r="B139" s="55"/>
      <c r="C139" s="55"/>
    </row>
    <row r="140" spans="2:3" ht="15.75" customHeight="1">
      <c r="B140" s="55"/>
      <c r="C140" s="55"/>
    </row>
    <row r="141" spans="2:3" ht="15.75" customHeight="1">
      <c r="B141" s="55"/>
      <c r="C141" s="55"/>
    </row>
    <row r="142" spans="2:3" ht="15.75" customHeight="1">
      <c r="B142" s="55"/>
      <c r="C142" s="55"/>
    </row>
    <row r="143" spans="2:3" ht="15.75" customHeight="1">
      <c r="B143" s="55"/>
      <c r="C143" s="55"/>
    </row>
    <row r="144" spans="2:3" ht="15.75" customHeight="1">
      <c r="B144" s="55"/>
      <c r="C144" s="55"/>
    </row>
    <row r="145" spans="2:3" ht="15.75" customHeight="1">
      <c r="B145" s="55"/>
      <c r="C145" s="55"/>
    </row>
    <row r="146" spans="2:3" ht="15.75" customHeight="1">
      <c r="B146" s="55"/>
      <c r="C146" s="55"/>
    </row>
    <row r="147" spans="2:3" ht="15.75" customHeight="1">
      <c r="B147" s="55"/>
      <c r="C147" s="55"/>
    </row>
    <row r="148" spans="2:3" ht="15.75" customHeight="1">
      <c r="B148" s="55"/>
      <c r="C148" s="55"/>
    </row>
    <row r="149" spans="2:3" ht="15.75" customHeight="1">
      <c r="B149" s="55"/>
      <c r="C149" s="55"/>
    </row>
    <row r="150" spans="2:3" ht="15.75" customHeight="1">
      <c r="B150" s="55"/>
      <c r="C150" s="55"/>
    </row>
    <row r="151" spans="2:3" ht="15.75" customHeight="1">
      <c r="B151" s="55"/>
      <c r="C151" s="55"/>
    </row>
    <row r="152" spans="2:3" ht="15.75" customHeight="1">
      <c r="B152" s="55"/>
      <c r="C152" s="55"/>
    </row>
    <row r="153" spans="2:3" ht="15.75" customHeight="1">
      <c r="B153" s="55"/>
      <c r="C153" s="55"/>
    </row>
    <row r="154" spans="2:3" ht="15.75" customHeight="1">
      <c r="B154" s="55"/>
      <c r="C154" s="55"/>
    </row>
    <row r="155" spans="2:3" ht="15.75" customHeight="1">
      <c r="B155" s="55"/>
      <c r="C155" s="55"/>
    </row>
    <row r="156" spans="2:3" ht="15.75" customHeight="1">
      <c r="B156" s="55"/>
      <c r="C156" s="55"/>
    </row>
    <row r="157" spans="2:3" ht="15.75" customHeight="1">
      <c r="B157" s="55"/>
      <c r="C157" s="55"/>
    </row>
    <row r="158" spans="2:3" ht="15.75" customHeight="1">
      <c r="B158" s="55"/>
      <c r="C158" s="55"/>
    </row>
    <row r="159" spans="2:3" ht="15.75" customHeight="1">
      <c r="B159" s="55"/>
      <c r="C159" s="55"/>
    </row>
    <row r="160" spans="2:3" ht="15.75" customHeight="1">
      <c r="B160" s="55"/>
      <c r="C160" s="55"/>
    </row>
    <row r="161" spans="2:3" ht="15.75" customHeight="1">
      <c r="B161" s="55"/>
      <c r="C161" s="55"/>
    </row>
    <row r="162" spans="2:3" ht="15.75" customHeight="1">
      <c r="B162" s="55"/>
      <c r="C162" s="55"/>
    </row>
    <row r="163" spans="2:3" ht="15.75" customHeight="1">
      <c r="B163" s="55"/>
      <c r="C163" s="55"/>
    </row>
    <row r="164" spans="2:3" ht="15.75" customHeight="1">
      <c r="B164" s="55"/>
      <c r="C164" s="55"/>
    </row>
    <row r="165" spans="2:3" ht="15.75" customHeight="1">
      <c r="B165" s="55"/>
      <c r="C165" s="55"/>
    </row>
    <row r="166" spans="2:3" ht="15.75" customHeight="1">
      <c r="B166" s="55"/>
      <c r="C166" s="55"/>
    </row>
    <row r="167" spans="2:3" ht="15.75" customHeight="1">
      <c r="B167" s="55"/>
      <c r="C167" s="55"/>
    </row>
    <row r="168" spans="2:3" ht="15.75" customHeight="1">
      <c r="B168" s="55"/>
      <c r="C168" s="55"/>
    </row>
    <row r="169" spans="2:3" ht="15.75" customHeight="1">
      <c r="B169" s="55"/>
      <c r="C169" s="55"/>
    </row>
    <row r="170" spans="2:3" ht="15.75" customHeight="1">
      <c r="B170" s="55"/>
      <c r="C170" s="55"/>
    </row>
    <row r="171" spans="2:3" ht="15.75" customHeight="1">
      <c r="B171" s="55"/>
      <c r="C171" s="55"/>
    </row>
    <row r="172" spans="2:3" ht="15.75" customHeight="1">
      <c r="B172" s="55"/>
      <c r="C172" s="55"/>
    </row>
    <row r="173" spans="2:3" ht="15.75" customHeight="1">
      <c r="B173" s="55"/>
      <c r="C173" s="55"/>
    </row>
    <row r="174" spans="2:3" ht="15.75" customHeight="1">
      <c r="B174" s="55"/>
      <c r="C174" s="55"/>
    </row>
    <row r="175" spans="2:3" ht="15.75" customHeight="1">
      <c r="B175" s="55"/>
      <c r="C175" s="55"/>
    </row>
    <row r="176" spans="2:3" ht="15.75" customHeight="1">
      <c r="B176" s="55"/>
      <c r="C176" s="55"/>
    </row>
    <row r="177" spans="2:3" ht="15.75" customHeight="1">
      <c r="B177" s="55"/>
      <c r="C177" s="55"/>
    </row>
    <row r="178" spans="2:3" ht="15.75" customHeight="1">
      <c r="B178" s="55"/>
      <c r="C178" s="55"/>
    </row>
    <row r="179" spans="2:3" ht="15.75" customHeight="1">
      <c r="B179" s="55"/>
      <c r="C179" s="55"/>
    </row>
    <row r="180" spans="2:3" ht="15.75" customHeight="1">
      <c r="B180" s="55"/>
      <c r="C180" s="55"/>
    </row>
    <row r="181" spans="2:3" ht="15.75" customHeight="1">
      <c r="B181" s="55"/>
      <c r="C181" s="55"/>
    </row>
    <row r="182" spans="2:3" ht="15.75" customHeight="1">
      <c r="B182" s="55"/>
      <c r="C182" s="55"/>
    </row>
    <row r="183" spans="2:3" ht="15.75" customHeight="1">
      <c r="B183" s="55"/>
      <c r="C183" s="55"/>
    </row>
    <row r="184" spans="2:3" ht="15.75" customHeight="1">
      <c r="B184" s="55"/>
      <c r="C184" s="55"/>
    </row>
    <row r="185" spans="2:3" ht="15.75" customHeight="1">
      <c r="B185" s="55"/>
      <c r="C185" s="55"/>
    </row>
    <row r="186" spans="2:3" ht="15.75" customHeight="1">
      <c r="B186" s="55"/>
      <c r="C186" s="55"/>
    </row>
    <row r="187" spans="2:3" ht="15.75" customHeight="1">
      <c r="B187" s="55"/>
      <c r="C187" s="55"/>
    </row>
    <row r="188" spans="2:3" ht="15.75" customHeight="1">
      <c r="B188" s="55"/>
      <c r="C188" s="55"/>
    </row>
    <row r="189" spans="2:3" ht="15.75" customHeight="1">
      <c r="B189" s="55"/>
      <c r="C189" s="55"/>
    </row>
    <row r="190" spans="2:3" ht="15.75" customHeight="1">
      <c r="B190" s="55"/>
      <c r="C190" s="55"/>
    </row>
    <row r="191" spans="2:3" ht="15.75" customHeight="1">
      <c r="B191" s="55"/>
      <c r="C191" s="55"/>
    </row>
    <row r="192" spans="2:3" ht="15.75" customHeight="1">
      <c r="B192" s="55"/>
      <c r="C192" s="55"/>
    </row>
    <row r="193" spans="2:3" ht="15.75" customHeight="1">
      <c r="B193" s="55"/>
      <c r="C193" s="55"/>
    </row>
    <row r="194" spans="2:3" ht="15.75" customHeight="1">
      <c r="B194" s="55"/>
      <c r="C194" s="55"/>
    </row>
    <row r="195" spans="2:3" ht="15.75" customHeight="1">
      <c r="B195" s="55"/>
      <c r="C195" s="55"/>
    </row>
    <row r="196" spans="2:3" ht="15.75" customHeight="1">
      <c r="B196" s="55"/>
      <c r="C196" s="55"/>
    </row>
    <row r="197" spans="2:3" ht="15.75" customHeight="1">
      <c r="B197" s="55"/>
      <c r="C197" s="55"/>
    </row>
    <row r="198" spans="2:3" ht="15.75" customHeight="1">
      <c r="B198" s="55"/>
      <c r="C198" s="55"/>
    </row>
    <row r="199" spans="2:3" ht="15.75" customHeight="1">
      <c r="B199" s="55"/>
      <c r="C199" s="55"/>
    </row>
    <row r="200" spans="2:3" ht="15.75" customHeight="1">
      <c r="B200" s="55"/>
      <c r="C200" s="55"/>
    </row>
    <row r="201" spans="2:3" ht="15.75" customHeight="1">
      <c r="B201" s="55"/>
      <c r="C201" s="55"/>
    </row>
    <row r="202" spans="2:3" ht="15.75" customHeight="1">
      <c r="B202" s="55"/>
      <c r="C202" s="55"/>
    </row>
    <row r="203" spans="2:3" ht="15.75" customHeight="1">
      <c r="B203" s="55"/>
      <c r="C203" s="55"/>
    </row>
    <row r="204" spans="2:3" ht="15.75" customHeight="1">
      <c r="B204" s="55"/>
      <c r="C204" s="55"/>
    </row>
    <row r="205" spans="2:3" ht="15.75" customHeight="1">
      <c r="B205" s="55"/>
      <c r="C205" s="55"/>
    </row>
    <row r="206" spans="2:3" ht="15.75" customHeight="1">
      <c r="B206" s="55"/>
      <c r="C206" s="55"/>
    </row>
    <row r="207" spans="2:3" ht="15.75" customHeight="1">
      <c r="B207" s="55"/>
      <c r="C207" s="55"/>
    </row>
    <row r="208" spans="2:3" ht="15.75" customHeight="1">
      <c r="B208" s="55"/>
      <c r="C208" s="55"/>
    </row>
    <row r="209" spans="2:3" ht="15.75" customHeight="1">
      <c r="B209" s="55"/>
      <c r="C209" s="55"/>
    </row>
    <row r="210" spans="2:3" ht="15.75" customHeight="1">
      <c r="B210" s="55"/>
      <c r="C210" s="55"/>
    </row>
    <row r="211" spans="2:3" ht="15.75" customHeight="1">
      <c r="B211" s="55"/>
      <c r="C211" s="55"/>
    </row>
    <row r="212" spans="2:3" ht="15.75" customHeight="1">
      <c r="B212" s="55"/>
      <c r="C212" s="55"/>
    </row>
    <row r="213" spans="2:3" ht="15.75" customHeight="1">
      <c r="B213" s="55"/>
      <c r="C213" s="55"/>
    </row>
    <row r="214" spans="2:3" ht="15.75" customHeight="1">
      <c r="B214" s="55"/>
      <c r="C214" s="55"/>
    </row>
    <row r="215" spans="2:3" ht="15.75" customHeight="1">
      <c r="B215" s="55"/>
      <c r="C215" s="55"/>
    </row>
    <row r="216" spans="2:3" ht="15.75" customHeight="1">
      <c r="B216" s="55"/>
      <c r="C216" s="55"/>
    </row>
    <row r="217" spans="2:3" ht="15.75" customHeight="1">
      <c r="B217" s="55"/>
      <c r="C217" s="55"/>
    </row>
    <row r="218" spans="2:3" ht="15.75" customHeight="1">
      <c r="B218" s="55"/>
      <c r="C218" s="55"/>
    </row>
    <row r="219" spans="2:3" ht="15.75" customHeight="1">
      <c r="B219" s="55"/>
      <c r="C219" s="55"/>
    </row>
    <row r="220" spans="2:3" ht="15.75" customHeight="1">
      <c r="B220" s="55"/>
      <c r="C220" s="55"/>
    </row>
    <row r="221" spans="2:3" ht="15.75" customHeight="1">
      <c r="B221" s="55"/>
      <c r="C221" s="55"/>
    </row>
    <row r="222" spans="2:3" ht="15.75" customHeight="1">
      <c r="B222" s="55"/>
      <c r="C222" s="55"/>
    </row>
    <row r="223" spans="2:3" ht="15.75" customHeight="1">
      <c r="B223" s="55"/>
      <c r="C223" s="55"/>
    </row>
    <row r="224" spans="2:3" ht="15.75" customHeight="1">
      <c r="B224" s="55"/>
      <c r="C224" s="55"/>
    </row>
    <row r="225" spans="2:3" ht="15.75" customHeight="1">
      <c r="B225" s="55"/>
      <c r="C225" s="55"/>
    </row>
    <row r="226" spans="2:3" ht="15.75" customHeight="1">
      <c r="B226" s="55"/>
      <c r="C226" s="55"/>
    </row>
    <row r="227" spans="2:3" ht="15.75" customHeight="1">
      <c r="B227" s="55"/>
      <c r="C227" s="55"/>
    </row>
    <row r="228" spans="2:3" ht="15.75" customHeight="1">
      <c r="B228" s="55"/>
      <c r="C228" s="55"/>
    </row>
    <row r="229" spans="2:3" ht="15.75" customHeight="1">
      <c r="B229" s="55"/>
      <c r="C229" s="55"/>
    </row>
    <row r="230" spans="2:3" ht="15.75" customHeight="1">
      <c r="B230" s="55"/>
      <c r="C230" s="55"/>
    </row>
    <row r="231" spans="2:3" ht="15.75" customHeight="1">
      <c r="B231" s="55"/>
      <c r="C231" s="55"/>
    </row>
    <row r="232" spans="2:3" ht="15.75" customHeight="1">
      <c r="B232" s="55"/>
      <c r="C232" s="55"/>
    </row>
    <row r="233" spans="2:3" ht="15.75" customHeight="1">
      <c r="B233" s="55"/>
      <c r="C233" s="55"/>
    </row>
    <row r="234" spans="2:3" ht="15.75" customHeight="1">
      <c r="B234" s="55"/>
      <c r="C234" s="55"/>
    </row>
    <row r="235" spans="2:3" ht="15.75" customHeight="1">
      <c r="B235" s="55"/>
      <c r="C235" s="55"/>
    </row>
    <row r="236" spans="2:3" ht="15.75" customHeight="1">
      <c r="B236" s="55"/>
      <c r="C236" s="55"/>
    </row>
    <row r="237" spans="2:3" ht="15.75" customHeight="1">
      <c r="B237" s="55"/>
      <c r="C237" s="55"/>
    </row>
    <row r="238" spans="2:3" ht="15.75" customHeight="1">
      <c r="B238" s="55"/>
      <c r="C238" s="55"/>
    </row>
    <row r="239" spans="2:3" ht="15.75" customHeight="1">
      <c r="B239" s="55"/>
      <c r="C239" s="55"/>
    </row>
    <row r="240" spans="2:3" ht="15.75" customHeight="1">
      <c r="B240" s="55"/>
      <c r="C240" s="55"/>
    </row>
    <row r="241" spans="2:3" ht="15.75" customHeight="1">
      <c r="B241" s="55"/>
      <c r="C241" s="55"/>
    </row>
    <row r="242" spans="2:3" ht="15.75" customHeight="1">
      <c r="B242" s="55"/>
      <c r="C242" s="55"/>
    </row>
    <row r="243" spans="2:3" ht="15.75" customHeight="1">
      <c r="B243" s="55"/>
      <c r="C243" s="55"/>
    </row>
    <row r="244" spans="2:3" ht="15.75" customHeight="1">
      <c r="B244" s="55"/>
      <c r="C244" s="55"/>
    </row>
    <row r="245" spans="2:3" ht="15.75" customHeight="1">
      <c r="B245" s="55"/>
      <c r="C245" s="55"/>
    </row>
    <row r="246" spans="2:3" ht="15.75" customHeight="1">
      <c r="B246" s="55"/>
      <c r="C246" s="55"/>
    </row>
    <row r="247" spans="2:3" ht="15.75" customHeight="1">
      <c r="B247" s="55"/>
      <c r="C247" s="55"/>
    </row>
    <row r="248" spans="2:3" ht="15.75" customHeight="1">
      <c r="B248" s="55"/>
      <c r="C248" s="55"/>
    </row>
    <row r="249" spans="2:3" ht="15.75" customHeight="1">
      <c r="B249" s="55"/>
      <c r="C249" s="55"/>
    </row>
    <row r="250" spans="2:3" ht="15.75" customHeight="1">
      <c r="B250" s="55"/>
      <c r="C250" s="55"/>
    </row>
    <row r="251" spans="2:3" ht="15.75" customHeight="1">
      <c r="B251" s="55"/>
      <c r="C251" s="55"/>
    </row>
    <row r="252" spans="2:3" ht="15.75" customHeight="1">
      <c r="B252" s="55"/>
      <c r="C252" s="55"/>
    </row>
    <row r="253" spans="2:3" ht="15.75" customHeight="1">
      <c r="B253" s="55"/>
      <c r="C253" s="55"/>
    </row>
    <row r="254" spans="2:3" ht="15.75" customHeight="1">
      <c r="B254" s="55"/>
      <c r="C254" s="55"/>
    </row>
    <row r="255" spans="2:3" ht="15.75" customHeight="1">
      <c r="B255" s="55"/>
      <c r="C255" s="55"/>
    </row>
    <row r="256" spans="2:3" ht="15.75" customHeight="1">
      <c r="B256" s="55"/>
      <c r="C256" s="55"/>
    </row>
    <row r="257" spans="2:3" ht="15.75" customHeight="1">
      <c r="B257" s="55"/>
      <c r="C257" s="55"/>
    </row>
    <row r="258" spans="2:3" ht="15.75" customHeight="1">
      <c r="B258" s="55"/>
      <c r="C258" s="55"/>
    </row>
    <row r="259" spans="2:3" ht="15.75" customHeight="1">
      <c r="B259" s="55"/>
      <c r="C259" s="55"/>
    </row>
    <row r="260" spans="2:3" ht="15.75" customHeight="1">
      <c r="B260" s="55"/>
      <c r="C260" s="55"/>
    </row>
    <row r="261" spans="2:3" ht="15.75" customHeight="1">
      <c r="B261" s="55"/>
      <c r="C261" s="55"/>
    </row>
    <row r="262" spans="2:3" ht="15.75" customHeight="1">
      <c r="B262" s="55"/>
      <c r="C262" s="55"/>
    </row>
    <row r="263" spans="2:3" ht="15.75" customHeight="1">
      <c r="B263" s="55"/>
      <c r="C263" s="55"/>
    </row>
    <row r="264" spans="2:3" ht="15.75" customHeight="1">
      <c r="B264" s="55"/>
      <c r="C264" s="55"/>
    </row>
    <row r="265" spans="2:3" ht="15.75" customHeight="1">
      <c r="B265" s="55"/>
      <c r="C265" s="55"/>
    </row>
    <row r="266" spans="2:3" ht="15.75" customHeight="1">
      <c r="B266" s="55"/>
      <c r="C266" s="55"/>
    </row>
    <row r="267" spans="2:3" ht="15.75" customHeight="1">
      <c r="B267" s="55"/>
      <c r="C267" s="55"/>
    </row>
    <row r="268" spans="2:3" ht="15.75" customHeight="1">
      <c r="B268" s="55"/>
      <c r="C268" s="55"/>
    </row>
    <row r="269" spans="2:3" ht="15.75" customHeight="1">
      <c r="B269" s="55"/>
      <c r="C269" s="55"/>
    </row>
    <row r="270" spans="2:3" ht="15.75" customHeight="1">
      <c r="B270" s="55"/>
      <c r="C270" s="55"/>
    </row>
    <row r="271" spans="2:3" ht="15.75" customHeight="1">
      <c r="B271" s="55"/>
      <c r="C271" s="55"/>
    </row>
    <row r="272" spans="2:3" ht="15.75" customHeight="1">
      <c r="B272" s="55"/>
      <c r="C272" s="55"/>
    </row>
    <row r="273" spans="2:3" ht="15.75" customHeight="1">
      <c r="B273" s="55"/>
      <c r="C273" s="55"/>
    </row>
    <row r="274" spans="2:3" ht="15.75" customHeight="1">
      <c r="B274" s="55"/>
      <c r="C274" s="55"/>
    </row>
    <row r="275" spans="2:3" ht="15.75" customHeight="1">
      <c r="B275" s="55"/>
      <c r="C275" s="55"/>
    </row>
    <row r="276" spans="2:3" ht="15.75" customHeight="1">
      <c r="B276" s="55"/>
      <c r="C276" s="55"/>
    </row>
    <row r="277" spans="2:3" ht="15.75" customHeight="1">
      <c r="B277" s="55"/>
      <c r="C277" s="55"/>
    </row>
    <row r="278" spans="2:3" ht="15.75" customHeight="1">
      <c r="B278" s="55"/>
      <c r="C278" s="55"/>
    </row>
    <row r="279" spans="2:3" ht="15.75" customHeight="1">
      <c r="B279" s="55"/>
      <c r="C279" s="55"/>
    </row>
    <row r="280" spans="2:3" ht="15.75" customHeight="1">
      <c r="B280" s="55"/>
      <c r="C280" s="55"/>
    </row>
    <row r="281" spans="2:3" ht="15.75" customHeight="1">
      <c r="B281" s="55"/>
      <c r="C281" s="55"/>
    </row>
    <row r="282" spans="2:3" ht="15.75" customHeight="1">
      <c r="B282" s="55"/>
      <c r="C282" s="55"/>
    </row>
    <row r="283" spans="2:3" ht="15.75" customHeight="1">
      <c r="B283" s="55"/>
      <c r="C283" s="55"/>
    </row>
    <row r="284" spans="2:3" ht="15.75" customHeight="1">
      <c r="B284" s="55"/>
      <c r="C284" s="55"/>
    </row>
    <row r="285" spans="2:3" ht="15.75" customHeight="1">
      <c r="B285" s="55"/>
      <c r="C285" s="55"/>
    </row>
    <row r="286" spans="2:3" ht="15.75" customHeight="1">
      <c r="B286" s="55"/>
      <c r="C286" s="55"/>
    </row>
    <row r="287" spans="2:3" ht="15.75" customHeight="1">
      <c r="B287" s="55"/>
      <c r="C287" s="55"/>
    </row>
    <row r="288" spans="2:3" ht="15.75" customHeight="1">
      <c r="B288" s="55"/>
      <c r="C288" s="55"/>
    </row>
    <row r="289" spans="2:3" ht="15.75" customHeight="1">
      <c r="B289" s="55"/>
      <c r="C289" s="55"/>
    </row>
    <row r="290" spans="2:3" ht="15.75" customHeight="1">
      <c r="B290" s="55"/>
      <c r="C290" s="55"/>
    </row>
    <row r="291" spans="2:3" ht="15.75" customHeight="1">
      <c r="B291" s="55"/>
      <c r="C291" s="55"/>
    </row>
    <row r="292" spans="2:3" ht="15.75" customHeight="1">
      <c r="B292" s="55"/>
      <c r="C292" s="55"/>
    </row>
    <row r="293" spans="2:3" ht="15.75" customHeight="1">
      <c r="B293" s="55"/>
      <c r="C293" s="55"/>
    </row>
    <row r="294" spans="2:3" ht="15.75" customHeight="1">
      <c r="B294" s="55"/>
      <c r="C294" s="55"/>
    </row>
    <row r="295" spans="2:3" ht="15.75" customHeight="1">
      <c r="B295" s="55"/>
      <c r="C295" s="55"/>
    </row>
    <row r="296" spans="2:3" ht="15.75" customHeight="1">
      <c r="B296" s="55"/>
      <c r="C296" s="55"/>
    </row>
    <row r="297" spans="2:3" ht="15.75" customHeight="1">
      <c r="B297" s="55"/>
      <c r="C297" s="55"/>
    </row>
    <row r="298" spans="2:3" ht="15.75" customHeight="1">
      <c r="B298" s="55"/>
      <c r="C298" s="55"/>
    </row>
    <row r="299" spans="2:3" ht="15.75" customHeight="1">
      <c r="B299" s="55"/>
      <c r="C299" s="55"/>
    </row>
    <row r="300" spans="2:3" ht="15.75" customHeight="1">
      <c r="B300" s="55"/>
      <c r="C300" s="55"/>
    </row>
    <row r="301" spans="2:3" ht="15.75" customHeight="1">
      <c r="B301" s="55"/>
      <c r="C301" s="55"/>
    </row>
    <row r="302" spans="2:3" ht="15.75" customHeight="1">
      <c r="B302" s="55"/>
      <c r="C302" s="55"/>
    </row>
    <row r="303" spans="2:3" ht="15.75" customHeight="1">
      <c r="B303" s="55"/>
      <c r="C303" s="55"/>
    </row>
    <row r="304" spans="2:3" ht="15.75" customHeight="1">
      <c r="B304" s="55"/>
      <c r="C304" s="55"/>
    </row>
    <row r="305" spans="2:3" ht="15.75" customHeight="1">
      <c r="B305" s="55"/>
      <c r="C305" s="55"/>
    </row>
    <row r="306" spans="2:3" ht="15.75" customHeight="1">
      <c r="B306" s="55"/>
      <c r="C306" s="55"/>
    </row>
    <row r="307" spans="2:3" ht="15.75" customHeight="1">
      <c r="B307" s="55"/>
      <c r="C307" s="55"/>
    </row>
    <row r="308" spans="2:3" ht="15.75" customHeight="1">
      <c r="B308" s="55"/>
      <c r="C308" s="55"/>
    </row>
    <row r="309" spans="2:3" ht="15.75" customHeight="1">
      <c r="B309" s="55"/>
      <c r="C309" s="55"/>
    </row>
    <row r="310" spans="2:3" ht="15.75" customHeight="1">
      <c r="B310" s="55"/>
      <c r="C310" s="55"/>
    </row>
    <row r="311" spans="2:3" ht="15.75" customHeight="1">
      <c r="B311" s="55"/>
      <c r="C311" s="55"/>
    </row>
    <row r="312" spans="2:3" ht="15.75" customHeight="1">
      <c r="B312" s="55"/>
      <c r="C312" s="55"/>
    </row>
    <row r="313" spans="2:3" ht="15.75" customHeight="1">
      <c r="B313" s="55"/>
      <c r="C313" s="55"/>
    </row>
    <row r="314" spans="2:3" ht="15.75" customHeight="1">
      <c r="B314" s="55"/>
      <c r="C314" s="55"/>
    </row>
    <row r="315" spans="2:3" ht="15.75" customHeight="1">
      <c r="B315" s="55"/>
      <c r="C315" s="55"/>
    </row>
    <row r="316" spans="2:3" ht="15.75" customHeight="1">
      <c r="B316" s="55"/>
      <c r="C316" s="55"/>
    </row>
    <row r="317" spans="2:3" ht="15.75" customHeight="1">
      <c r="B317" s="55"/>
      <c r="C317" s="55"/>
    </row>
    <row r="318" spans="2:3" ht="15.75" customHeight="1">
      <c r="B318" s="55"/>
      <c r="C318" s="55"/>
    </row>
    <row r="319" spans="2:3" ht="15.75" customHeight="1">
      <c r="B319" s="55"/>
      <c r="C319" s="55"/>
    </row>
    <row r="320" spans="2:3" ht="15.75" customHeight="1">
      <c r="B320" s="55"/>
      <c r="C320" s="55"/>
    </row>
    <row r="321" spans="2:3" ht="15.75" customHeight="1">
      <c r="B321" s="55"/>
      <c r="C321" s="55"/>
    </row>
    <row r="322" spans="2:3" ht="15.75" customHeight="1">
      <c r="B322" s="55"/>
      <c r="C322" s="55"/>
    </row>
    <row r="323" spans="2:3" ht="15.75" customHeight="1">
      <c r="B323" s="55"/>
      <c r="C323" s="55"/>
    </row>
    <row r="324" spans="2:3" ht="15.75" customHeight="1">
      <c r="B324" s="55"/>
      <c r="C324" s="55"/>
    </row>
    <row r="325" spans="2:3" ht="15.75" customHeight="1">
      <c r="B325" s="55"/>
      <c r="C325" s="55"/>
    </row>
    <row r="326" spans="2:3" ht="15.75" customHeight="1">
      <c r="B326" s="55"/>
      <c r="C326" s="55"/>
    </row>
    <row r="327" spans="2:3" ht="15.75" customHeight="1">
      <c r="B327" s="55"/>
      <c r="C327" s="55"/>
    </row>
    <row r="328" spans="2:3" ht="15.75" customHeight="1">
      <c r="B328" s="55"/>
      <c r="C328" s="55"/>
    </row>
    <row r="329" spans="2:3" ht="15.75" customHeight="1">
      <c r="B329" s="55"/>
      <c r="C329" s="55"/>
    </row>
    <row r="330" spans="2:3" ht="15.75" customHeight="1">
      <c r="B330" s="55"/>
      <c r="C330" s="55"/>
    </row>
    <row r="331" spans="2:3" ht="15.75" customHeight="1">
      <c r="B331" s="55"/>
      <c r="C331" s="55"/>
    </row>
    <row r="332" spans="2:3" ht="15.75" customHeight="1">
      <c r="B332" s="55"/>
      <c r="C332" s="55"/>
    </row>
    <row r="333" spans="2:3" ht="15.75" customHeight="1">
      <c r="B333" s="55"/>
      <c r="C333" s="55"/>
    </row>
    <row r="334" spans="2:3" ht="15.75" customHeight="1">
      <c r="B334" s="55"/>
      <c r="C334" s="55"/>
    </row>
    <row r="335" spans="2:3" ht="15.75" customHeight="1">
      <c r="B335" s="55"/>
      <c r="C335" s="55"/>
    </row>
    <row r="336" spans="2:3" ht="15.75" customHeight="1">
      <c r="B336" s="55"/>
      <c r="C336" s="55"/>
    </row>
    <row r="337" spans="2:3" ht="15.75" customHeight="1">
      <c r="B337" s="55"/>
      <c r="C337" s="55"/>
    </row>
    <row r="338" spans="2:3" ht="15.75" customHeight="1">
      <c r="B338" s="55"/>
      <c r="C338" s="55"/>
    </row>
    <row r="339" spans="2:3" ht="15.75" customHeight="1">
      <c r="B339" s="55"/>
      <c r="C339" s="55"/>
    </row>
    <row r="340" spans="2:3" ht="15.75" customHeight="1">
      <c r="B340" s="55"/>
      <c r="C340" s="55"/>
    </row>
    <row r="341" spans="2:3" ht="15.75" customHeight="1">
      <c r="B341" s="55"/>
      <c r="C341" s="55"/>
    </row>
    <row r="342" spans="2:3" ht="15.75" customHeight="1">
      <c r="B342" s="55"/>
      <c r="C342" s="55"/>
    </row>
    <row r="343" spans="2:3" ht="15.75" customHeight="1">
      <c r="B343" s="55"/>
      <c r="C343" s="55"/>
    </row>
    <row r="344" spans="2:3" ht="15.75" customHeight="1">
      <c r="B344" s="55"/>
      <c r="C344" s="55"/>
    </row>
    <row r="345" spans="2:3" ht="15.75" customHeight="1">
      <c r="B345" s="55"/>
      <c r="C345" s="55"/>
    </row>
    <row r="346" spans="2:3" ht="15.75" customHeight="1">
      <c r="B346" s="55"/>
      <c r="C346" s="55"/>
    </row>
    <row r="347" spans="2:3" ht="15.75" customHeight="1">
      <c r="B347" s="55"/>
      <c r="C347" s="55"/>
    </row>
    <row r="348" spans="2:3" ht="15.75" customHeight="1">
      <c r="B348" s="55"/>
      <c r="C348" s="55"/>
    </row>
    <row r="349" spans="2:3" ht="15.75" customHeight="1">
      <c r="B349" s="55"/>
      <c r="C349" s="55"/>
    </row>
    <row r="350" spans="2:3" ht="15.75" customHeight="1">
      <c r="B350" s="55"/>
      <c r="C350" s="55"/>
    </row>
    <row r="351" spans="2:3" ht="15.75" customHeight="1">
      <c r="B351" s="55"/>
      <c r="C351" s="55"/>
    </row>
    <row r="352" spans="2:3" ht="15.75" customHeight="1">
      <c r="B352" s="55"/>
      <c r="C352" s="55"/>
    </row>
    <row r="353" spans="2:3" ht="15.75" customHeight="1">
      <c r="B353" s="55"/>
      <c r="C353" s="55"/>
    </row>
    <row r="354" spans="2:3" ht="15.75" customHeight="1">
      <c r="B354" s="55"/>
      <c r="C354" s="55"/>
    </row>
    <row r="355" spans="2:3" ht="15.75" customHeight="1">
      <c r="B355" s="55"/>
      <c r="C355" s="55"/>
    </row>
    <row r="356" spans="2:3" ht="15.75" customHeight="1">
      <c r="B356" s="55"/>
      <c r="C356" s="55"/>
    </row>
    <row r="357" spans="2:3" ht="15.75" customHeight="1">
      <c r="B357" s="55"/>
      <c r="C357" s="55"/>
    </row>
    <row r="358" spans="2:3" ht="15.75" customHeight="1">
      <c r="B358" s="55"/>
      <c r="C358" s="55"/>
    </row>
    <row r="359" spans="2:3" ht="15.75" customHeight="1">
      <c r="B359" s="55"/>
      <c r="C359" s="55"/>
    </row>
    <row r="360" spans="2:3" ht="15.75" customHeight="1">
      <c r="B360" s="55"/>
      <c r="C360" s="55"/>
    </row>
    <row r="361" spans="2:3" ht="15.75" customHeight="1">
      <c r="B361" s="55"/>
      <c r="C361" s="55"/>
    </row>
    <row r="362" spans="2:3" ht="15.75" customHeight="1">
      <c r="B362" s="55"/>
      <c r="C362" s="55"/>
    </row>
    <row r="363" spans="2:3" ht="15.75" customHeight="1">
      <c r="B363" s="55"/>
      <c r="C363" s="55"/>
    </row>
    <row r="364" spans="2:3" ht="15.75" customHeight="1">
      <c r="B364" s="55"/>
      <c r="C364" s="55"/>
    </row>
    <row r="365" spans="2:3" ht="15.75" customHeight="1">
      <c r="B365" s="55"/>
      <c r="C365" s="55"/>
    </row>
    <row r="366" spans="2:3" ht="15.75" customHeight="1">
      <c r="B366" s="55"/>
      <c r="C366" s="55"/>
    </row>
    <row r="367" spans="2:3" ht="15.75" customHeight="1">
      <c r="B367" s="55"/>
      <c r="C367" s="55"/>
    </row>
    <row r="368" spans="2:3" ht="15.75" customHeight="1">
      <c r="B368" s="55"/>
      <c r="C368" s="55"/>
    </row>
    <row r="369" spans="2:3" ht="15.75" customHeight="1">
      <c r="B369" s="55"/>
      <c r="C369" s="55"/>
    </row>
    <row r="370" spans="2:3" ht="15.75" customHeight="1">
      <c r="B370" s="55"/>
      <c r="C370" s="55"/>
    </row>
    <row r="371" spans="2:3" ht="15.75" customHeight="1">
      <c r="B371" s="55"/>
      <c r="C371" s="55"/>
    </row>
    <row r="372" spans="2:3" ht="15.75" customHeight="1">
      <c r="B372" s="55"/>
      <c r="C372" s="55"/>
    </row>
    <row r="373" spans="2:3" ht="15.75" customHeight="1">
      <c r="B373" s="55"/>
      <c r="C373" s="55"/>
    </row>
    <row r="374" spans="2:3" ht="15.75" customHeight="1">
      <c r="B374" s="55"/>
      <c r="C374" s="55"/>
    </row>
    <row r="375" spans="2:3" ht="15.75" customHeight="1">
      <c r="B375" s="55"/>
      <c r="C375" s="55"/>
    </row>
    <row r="376" spans="2:3" ht="15.75" customHeight="1">
      <c r="B376" s="55"/>
      <c r="C376" s="55"/>
    </row>
    <row r="377" spans="2:3" ht="15.75" customHeight="1">
      <c r="B377" s="55"/>
      <c r="C377" s="55"/>
    </row>
    <row r="378" spans="2:3" ht="15.75" customHeight="1">
      <c r="B378" s="55"/>
      <c r="C378" s="55"/>
    </row>
    <row r="379" spans="2:3" ht="15.75" customHeight="1">
      <c r="B379" s="55"/>
      <c r="C379" s="55"/>
    </row>
    <row r="380" spans="2:3" ht="15.75" customHeight="1">
      <c r="B380" s="55"/>
      <c r="C380" s="55"/>
    </row>
    <row r="381" spans="2:3" ht="15.75" customHeight="1">
      <c r="B381" s="55"/>
      <c r="C381" s="55"/>
    </row>
    <row r="382" spans="2:3" ht="15.75" customHeight="1">
      <c r="B382" s="55"/>
      <c r="C382" s="55"/>
    </row>
    <row r="383" spans="2:3" ht="15.75" customHeight="1">
      <c r="B383" s="55"/>
      <c r="C383" s="55"/>
    </row>
    <row r="384" spans="2:3" ht="15.75" customHeight="1">
      <c r="B384" s="55"/>
      <c r="C384" s="55"/>
    </row>
    <row r="385" spans="2:3" ht="15.75" customHeight="1">
      <c r="B385" s="55"/>
      <c r="C385" s="55"/>
    </row>
    <row r="386" spans="2:3" ht="15.75" customHeight="1">
      <c r="B386" s="55"/>
      <c r="C386" s="55"/>
    </row>
    <row r="387" spans="2:3" ht="15.75" customHeight="1">
      <c r="B387" s="55"/>
      <c r="C387" s="55"/>
    </row>
    <row r="388" spans="2:3" ht="15.75" customHeight="1">
      <c r="B388" s="55"/>
      <c r="C388" s="55"/>
    </row>
    <row r="389" spans="2:3" ht="15.75" customHeight="1">
      <c r="B389" s="55"/>
      <c r="C389" s="55"/>
    </row>
    <row r="390" spans="2:3" ht="15.75" customHeight="1">
      <c r="B390" s="55"/>
      <c r="C390" s="55"/>
    </row>
    <row r="391" spans="2:3" ht="15.75" customHeight="1">
      <c r="B391" s="55"/>
      <c r="C391" s="55"/>
    </row>
    <row r="392" spans="2:3" ht="15.75" customHeight="1">
      <c r="B392" s="55"/>
      <c r="C392" s="55"/>
    </row>
    <row r="393" spans="2:3" ht="15.75" customHeight="1">
      <c r="B393" s="55"/>
      <c r="C393" s="55"/>
    </row>
    <row r="394" spans="2:3" ht="15.75" customHeight="1">
      <c r="B394" s="55"/>
      <c r="C394" s="55"/>
    </row>
    <row r="395" spans="2:3" ht="15.75" customHeight="1">
      <c r="B395" s="55"/>
      <c r="C395" s="55"/>
    </row>
    <row r="396" spans="2:3" ht="15.75" customHeight="1">
      <c r="B396" s="55"/>
      <c r="C396" s="55"/>
    </row>
    <row r="397" spans="2:3" ht="15.75" customHeight="1">
      <c r="B397" s="55"/>
      <c r="C397" s="55"/>
    </row>
    <row r="398" spans="2:3" ht="15.75" customHeight="1">
      <c r="B398" s="55"/>
      <c r="C398" s="55"/>
    </row>
    <row r="399" spans="2:3" ht="15.75" customHeight="1">
      <c r="B399" s="55"/>
      <c r="C399" s="55"/>
    </row>
    <row r="400" spans="2:3" ht="15.75" customHeight="1">
      <c r="B400" s="55"/>
      <c r="C400" s="55"/>
    </row>
    <row r="401" spans="2:3" ht="15.75" customHeight="1">
      <c r="B401" s="55"/>
      <c r="C401" s="55"/>
    </row>
    <row r="402" spans="2:3" ht="15.75" customHeight="1">
      <c r="B402" s="55"/>
      <c r="C402" s="55"/>
    </row>
    <row r="403" spans="2:3" ht="15.75" customHeight="1">
      <c r="B403" s="55"/>
      <c r="C403" s="55"/>
    </row>
    <row r="404" spans="2:3" ht="15.75" customHeight="1">
      <c r="B404" s="55"/>
      <c r="C404" s="55"/>
    </row>
    <row r="405" spans="2:3" ht="15.75" customHeight="1">
      <c r="B405" s="55"/>
      <c r="C405" s="55"/>
    </row>
    <row r="406" spans="2:3" ht="15.75" customHeight="1">
      <c r="B406" s="55"/>
      <c r="C406" s="55"/>
    </row>
    <row r="407" spans="2:3" ht="15.75" customHeight="1">
      <c r="B407" s="55"/>
      <c r="C407" s="55"/>
    </row>
    <row r="408" spans="2:3" ht="15.75" customHeight="1">
      <c r="B408" s="55"/>
      <c r="C408" s="55"/>
    </row>
    <row r="409" spans="2:3" ht="15.75" customHeight="1">
      <c r="B409" s="55"/>
      <c r="C409" s="55"/>
    </row>
    <row r="410" spans="2:3" ht="15.75" customHeight="1">
      <c r="B410" s="55"/>
      <c r="C410" s="55"/>
    </row>
    <row r="411" spans="2:3" ht="15.75" customHeight="1">
      <c r="B411" s="55"/>
      <c r="C411" s="55"/>
    </row>
    <row r="412" spans="2:3" ht="15.75" customHeight="1">
      <c r="B412" s="55"/>
      <c r="C412" s="55"/>
    </row>
    <row r="413" spans="2:3" ht="15.75" customHeight="1">
      <c r="B413" s="55"/>
      <c r="C413" s="55"/>
    </row>
    <row r="414" spans="2:3" ht="15.75" customHeight="1">
      <c r="B414" s="55"/>
      <c r="C414" s="55"/>
    </row>
    <row r="415" spans="2:3" ht="15.75" customHeight="1">
      <c r="B415" s="55"/>
      <c r="C415" s="55"/>
    </row>
    <row r="416" spans="2:3" ht="15.75" customHeight="1">
      <c r="B416" s="55"/>
      <c r="C416" s="55"/>
    </row>
    <row r="417" spans="2:3" ht="15.75" customHeight="1">
      <c r="B417" s="55"/>
      <c r="C417" s="55"/>
    </row>
    <row r="418" spans="2:3" ht="15.75" customHeight="1">
      <c r="B418" s="55"/>
      <c r="C418" s="55"/>
    </row>
    <row r="419" spans="2:3" ht="15.75" customHeight="1">
      <c r="B419" s="55"/>
      <c r="C419" s="55"/>
    </row>
    <row r="420" spans="2:3" ht="15.75" customHeight="1">
      <c r="B420" s="55"/>
      <c r="C420" s="55"/>
    </row>
    <row r="421" spans="2:3" ht="15.75" customHeight="1">
      <c r="B421" s="55"/>
      <c r="C421" s="55"/>
    </row>
    <row r="422" spans="2:3" ht="15.75" customHeight="1">
      <c r="B422" s="55"/>
      <c r="C422" s="55"/>
    </row>
    <row r="423" spans="2:3" ht="15.75" customHeight="1">
      <c r="B423" s="55"/>
      <c r="C423" s="55"/>
    </row>
    <row r="424" spans="2:3" ht="15.75" customHeight="1">
      <c r="B424" s="55"/>
      <c r="C424" s="55"/>
    </row>
    <row r="425" spans="2:3" ht="15.75" customHeight="1">
      <c r="B425" s="55"/>
      <c r="C425" s="55"/>
    </row>
    <row r="426" spans="2:3" ht="15.75" customHeight="1">
      <c r="B426" s="55"/>
      <c r="C426" s="55"/>
    </row>
    <row r="427" spans="2:3" ht="15.75" customHeight="1">
      <c r="B427" s="55"/>
      <c r="C427" s="55"/>
    </row>
    <row r="428" spans="2:3" ht="15.75" customHeight="1">
      <c r="B428" s="55"/>
      <c r="C428" s="55"/>
    </row>
    <row r="429" spans="2:3" ht="15.75" customHeight="1">
      <c r="B429" s="55"/>
      <c r="C429" s="55"/>
    </row>
    <row r="430" spans="2:3" ht="15.75" customHeight="1">
      <c r="B430" s="55"/>
      <c r="C430" s="55"/>
    </row>
    <row r="431" spans="2:3" ht="15.75" customHeight="1">
      <c r="B431" s="55"/>
      <c r="C431" s="55"/>
    </row>
    <row r="432" spans="2:3" ht="15.75" customHeight="1">
      <c r="B432" s="55"/>
      <c r="C432" s="55"/>
    </row>
    <row r="433" spans="2:3" ht="15.75" customHeight="1">
      <c r="B433" s="55"/>
      <c r="C433" s="55"/>
    </row>
    <row r="434" spans="2:3" ht="15.75" customHeight="1">
      <c r="B434" s="55"/>
      <c r="C434" s="55"/>
    </row>
    <row r="435" spans="2:3" ht="15.75" customHeight="1">
      <c r="B435" s="55"/>
      <c r="C435" s="55"/>
    </row>
    <row r="436" spans="2:3" ht="15.75" customHeight="1">
      <c r="B436" s="55"/>
      <c r="C436" s="55"/>
    </row>
    <row r="437" spans="2:3" ht="15.75" customHeight="1">
      <c r="B437" s="55"/>
      <c r="C437" s="55"/>
    </row>
    <row r="438" spans="2:3" ht="15.75" customHeight="1">
      <c r="B438" s="55"/>
      <c r="C438" s="55"/>
    </row>
    <row r="439" spans="2:3" ht="15.75" customHeight="1">
      <c r="B439" s="55"/>
      <c r="C439" s="55"/>
    </row>
    <row r="440" spans="2:3" ht="15.75" customHeight="1">
      <c r="B440" s="55"/>
      <c r="C440" s="55"/>
    </row>
    <row r="441" spans="2:3" ht="15.75" customHeight="1">
      <c r="B441" s="55"/>
      <c r="C441" s="55"/>
    </row>
    <row r="442" spans="2:3" ht="15.75" customHeight="1">
      <c r="B442" s="55"/>
      <c r="C442" s="55"/>
    </row>
    <row r="443" spans="2:3" ht="15.75" customHeight="1">
      <c r="B443" s="55"/>
      <c r="C443" s="55"/>
    </row>
    <row r="444" spans="2:3" ht="15.75" customHeight="1">
      <c r="B444" s="55"/>
      <c r="C444" s="55"/>
    </row>
    <row r="445" spans="2:3" ht="15.75" customHeight="1">
      <c r="B445" s="55"/>
      <c r="C445" s="55"/>
    </row>
    <row r="446" spans="2:3" ht="15.75" customHeight="1">
      <c r="B446" s="55"/>
      <c r="C446" s="55"/>
    </row>
    <row r="447" spans="2:3" ht="15.75" customHeight="1">
      <c r="B447" s="55"/>
      <c r="C447" s="55"/>
    </row>
    <row r="448" spans="2:3" ht="15.75" customHeight="1">
      <c r="B448" s="55"/>
      <c r="C448" s="55"/>
    </row>
    <row r="449" spans="2:3" ht="15.75" customHeight="1">
      <c r="B449" s="55"/>
      <c r="C449" s="55"/>
    </row>
    <row r="450" spans="2:3" ht="15.75" customHeight="1">
      <c r="B450" s="55"/>
      <c r="C450" s="55"/>
    </row>
    <row r="451" spans="2:3" ht="15.75" customHeight="1">
      <c r="B451" s="55"/>
      <c r="C451" s="55"/>
    </row>
    <row r="452" spans="2:3" ht="15.75" customHeight="1">
      <c r="B452" s="55"/>
      <c r="C452" s="55"/>
    </row>
    <row r="453" spans="2:3" ht="15.75" customHeight="1">
      <c r="B453" s="55"/>
      <c r="C453" s="55"/>
    </row>
    <row r="454" spans="2:3" ht="15.75" customHeight="1">
      <c r="B454" s="55"/>
      <c r="C454" s="55"/>
    </row>
    <row r="455" spans="2:3" ht="15.75" customHeight="1">
      <c r="B455" s="55"/>
      <c r="C455" s="55"/>
    </row>
    <row r="456" spans="2:3" ht="15.75" customHeight="1">
      <c r="B456" s="55"/>
      <c r="C456" s="55"/>
    </row>
    <row r="457" spans="2:3" ht="15.75" customHeight="1">
      <c r="B457" s="55"/>
      <c r="C457" s="55"/>
    </row>
    <row r="458" spans="2:3" ht="15.75" customHeight="1">
      <c r="B458" s="55"/>
      <c r="C458" s="55"/>
    </row>
    <row r="459" spans="2:3" ht="15.75" customHeight="1">
      <c r="B459" s="55"/>
      <c r="C459" s="55"/>
    </row>
    <row r="460" spans="2:3" ht="15.75" customHeight="1">
      <c r="B460" s="55"/>
      <c r="C460" s="55"/>
    </row>
    <row r="461" spans="2:3" ht="15.75" customHeight="1">
      <c r="B461" s="55"/>
      <c r="C461" s="55"/>
    </row>
    <row r="462" spans="2:3" ht="15.75" customHeight="1">
      <c r="B462" s="55"/>
      <c r="C462" s="55"/>
    </row>
    <row r="463" spans="2:3" ht="15.75" customHeight="1">
      <c r="B463" s="55"/>
      <c r="C463" s="55"/>
    </row>
    <row r="464" spans="2:3" ht="15.75" customHeight="1">
      <c r="B464" s="55"/>
      <c r="C464" s="55"/>
    </row>
    <row r="465" spans="2:3" ht="15.75" customHeight="1">
      <c r="B465" s="55"/>
      <c r="C465" s="55"/>
    </row>
    <row r="466" spans="2:3" ht="15.75" customHeight="1">
      <c r="B466" s="55"/>
      <c r="C466" s="55"/>
    </row>
    <row r="467" spans="2:3" ht="15.75" customHeight="1">
      <c r="B467" s="55"/>
      <c r="C467" s="55"/>
    </row>
    <row r="468" spans="2:3" ht="15.75" customHeight="1">
      <c r="B468" s="55"/>
      <c r="C468" s="55"/>
    </row>
    <row r="469" spans="2:3" ht="15.75" customHeight="1">
      <c r="B469" s="55"/>
      <c r="C469" s="55"/>
    </row>
    <row r="470" spans="2:3" ht="15.75" customHeight="1">
      <c r="B470" s="55"/>
      <c r="C470" s="55"/>
    </row>
    <row r="471" spans="2:3" ht="15.75" customHeight="1">
      <c r="B471" s="55"/>
      <c r="C471" s="55"/>
    </row>
    <row r="472" spans="2:3" ht="15.75" customHeight="1">
      <c r="B472" s="55"/>
      <c r="C472" s="55"/>
    </row>
    <row r="473" spans="2:3" ht="15.75" customHeight="1">
      <c r="B473" s="55"/>
      <c r="C473" s="55"/>
    </row>
    <row r="474" spans="2:3" ht="15.75" customHeight="1">
      <c r="B474" s="55"/>
      <c r="C474" s="55"/>
    </row>
    <row r="475" spans="2:3" ht="15.75" customHeight="1">
      <c r="B475" s="55"/>
      <c r="C475" s="55"/>
    </row>
    <row r="476" spans="2:3" ht="15.75" customHeight="1">
      <c r="B476" s="55"/>
      <c r="C476" s="55"/>
    </row>
    <row r="477" spans="2:3" ht="15.75" customHeight="1">
      <c r="B477" s="55"/>
      <c r="C477" s="55"/>
    </row>
    <row r="478" spans="2:3" ht="15.75" customHeight="1">
      <c r="B478" s="55"/>
      <c r="C478" s="55"/>
    </row>
    <row r="479" spans="2:3" ht="15.75" customHeight="1">
      <c r="B479" s="55"/>
      <c r="C479" s="55"/>
    </row>
    <row r="480" spans="2:3" ht="15.75" customHeight="1">
      <c r="B480" s="55"/>
      <c r="C480" s="55"/>
    </row>
    <row r="481" spans="2:3" ht="15.75" customHeight="1">
      <c r="B481" s="55"/>
      <c r="C481" s="55"/>
    </row>
    <row r="482" spans="2:3" ht="15.75" customHeight="1">
      <c r="B482" s="55"/>
      <c r="C482" s="55"/>
    </row>
    <row r="483" spans="2:3" ht="15.75" customHeight="1">
      <c r="B483" s="55"/>
      <c r="C483" s="55"/>
    </row>
    <row r="484" spans="2:3" ht="15.75" customHeight="1">
      <c r="B484" s="55"/>
      <c r="C484" s="55"/>
    </row>
    <row r="485" spans="2:3" ht="15.75" customHeight="1">
      <c r="B485" s="55"/>
      <c r="C485" s="55"/>
    </row>
    <row r="486" spans="2:3" ht="15.75" customHeight="1">
      <c r="B486" s="55"/>
      <c r="C486" s="55"/>
    </row>
    <row r="487" spans="2:3" ht="15.75" customHeight="1">
      <c r="B487" s="55"/>
      <c r="C487" s="55"/>
    </row>
    <row r="488" spans="2:3" ht="15.75" customHeight="1">
      <c r="B488" s="55"/>
      <c r="C488" s="55"/>
    </row>
    <row r="489" spans="2:3" ht="15.75" customHeight="1">
      <c r="B489" s="55"/>
      <c r="C489" s="55"/>
    </row>
    <row r="490" spans="2:3" ht="15.75" customHeight="1">
      <c r="B490" s="55"/>
      <c r="C490" s="55"/>
    </row>
    <row r="491" spans="2:3" ht="15.75" customHeight="1">
      <c r="B491" s="55"/>
      <c r="C491" s="55"/>
    </row>
    <row r="492" spans="2:3" ht="15.75" customHeight="1">
      <c r="B492" s="55"/>
      <c r="C492" s="55"/>
    </row>
    <row r="493" spans="2:3" ht="15.75" customHeight="1">
      <c r="B493" s="55"/>
      <c r="C493" s="55"/>
    </row>
    <row r="494" spans="2:3" ht="15.75" customHeight="1">
      <c r="B494" s="55"/>
      <c r="C494" s="55"/>
    </row>
    <row r="495" spans="2:3" ht="15.75" customHeight="1">
      <c r="B495" s="55"/>
      <c r="C495" s="55"/>
    </row>
    <row r="496" spans="2:3" ht="15.75" customHeight="1">
      <c r="B496" s="55"/>
      <c r="C496" s="55"/>
    </row>
    <row r="497" spans="2:3" ht="15.75" customHeight="1">
      <c r="B497" s="55"/>
      <c r="C497" s="55"/>
    </row>
    <row r="498" spans="2:3" ht="15.75" customHeight="1">
      <c r="B498" s="55"/>
      <c r="C498" s="55"/>
    </row>
    <row r="499" spans="2:3" ht="15.75" customHeight="1">
      <c r="B499" s="55"/>
      <c r="C499" s="55"/>
    </row>
    <row r="500" spans="2:3" ht="15.75" customHeight="1">
      <c r="B500" s="55"/>
      <c r="C500" s="55"/>
    </row>
    <row r="501" spans="2:3" ht="15.75" customHeight="1">
      <c r="B501" s="55"/>
      <c r="C501" s="55"/>
    </row>
    <row r="502" spans="2:3" ht="15.75" customHeight="1">
      <c r="B502" s="55"/>
      <c r="C502" s="55"/>
    </row>
    <row r="503" spans="2:3" ht="15.75" customHeight="1">
      <c r="B503" s="55"/>
      <c r="C503" s="55"/>
    </row>
    <row r="504" spans="2:3" ht="15.75" customHeight="1">
      <c r="B504" s="55"/>
      <c r="C504" s="55"/>
    </row>
    <row r="505" spans="2:3" ht="15.75" customHeight="1">
      <c r="B505" s="55"/>
      <c r="C505" s="55"/>
    </row>
    <row r="506" spans="2:3" ht="15.75" customHeight="1">
      <c r="B506" s="55"/>
      <c r="C506" s="55"/>
    </row>
    <row r="507" spans="2:3" ht="15.75" customHeight="1">
      <c r="B507" s="55"/>
      <c r="C507" s="55"/>
    </row>
    <row r="508" spans="2:3" ht="15.75" customHeight="1">
      <c r="B508" s="55"/>
      <c r="C508" s="55"/>
    </row>
    <row r="509" spans="2:3" ht="15.75" customHeight="1">
      <c r="B509" s="55"/>
      <c r="C509" s="55"/>
    </row>
    <row r="510" spans="2:3" ht="15.75" customHeight="1">
      <c r="B510" s="55"/>
      <c r="C510" s="55"/>
    </row>
    <row r="511" spans="2:3" ht="15.75" customHeight="1">
      <c r="B511" s="55"/>
      <c r="C511" s="55"/>
    </row>
    <row r="512" spans="2:3" ht="15.75" customHeight="1">
      <c r="B512" s="55"/>
      <c r="C512" s="55"/>
    </row>
    <row r="513" spans="2:3" ht="15.75" customHeight="1">
      <c r="B513" s="55"/>
      <c r="C513" s="55"/>
    </row>
    <row r="514" spans="2:3" ht="15.75" customHeight="1">
      <c r="B514" s="55"/>
      <c r="C514" s="55"/>
    </row>
    <row r="515" spans="2:3" ht="15.75" customHeight="1">
      <c r="B515" s="55"/>
      <c r="C515" s="55"/>
    </row>
    <row r="516" spans="2:3" ht="15.75" customHeight="1">
      <c r="B516" s="55"/>
      <c r="C516" s="55"/>
    </row>
    <row r="517" spans="2:3" ht="15.75" customHeight="1">
      <c r="B517" s="55"/>
      <c r="C517" s="55"/>
    </row>
    <row r="518" spans="2:3" ht="15.75" customHeight="1">
      <c r="B518" s="55"/>
      <c r="C518" s="55"/>
    </row>
    <row r="519" spans="2:3" ht="15.75" customHeight="1">
      <c r="B519" s="55"/>
      <c r="C519" s="55"/>
    </row>
    <row r="520" spans="2:3" ht="15.75" customHeight="1">
      <c r="B520" s="55"/>
      <c r="C520" s="55"/>
    </row>
    <row r="521" spans="2:3" ht="15.75" customHeight="1">
      <c r="B521" s="55"/>
      <c r="C521" s="55"/>
    </row>
    <row r="522" spans="2:3" ht="15.75" customHeight="1">
      <c r="B522" s="55"/>
      <c r="C522" s="55"/>
    </row>
    <row r="523" spans="2:3" ht="15.75" customHeight="1">
      <c r="B523" s="55"/>
      <c r="C523" s="55"/>
    </row>
    <row r="524" spans="2:3" ht="15.75" customHeight="1">
      <c r="B524" s="55"/>
      <c r="C524" s="55"/>
    </row>
    <row r="525" spans="2:3" ht="15.75" customHeight="1">
      <c r="B525" s="55"/>
      <c r="C525" s="55"/>
    </row>
    <row r="526" spans="2:3" ht="15.75" customHeight="1">
      <c r="B526" s="55"/>
      <c r="C526" s="55"/>
    </row>
    <row r="527" spans="2:3" ht="15.75" customHeight="1">
      <c r="B527" s="55"/>
      <c r="C527" s="55"/>
    </row>
    <row r="528" spans="2:3" ht="15.75" customHeight="1">
      <c r="B528" s="55"/>
      <c r="C528" s="55"/>
    </row>
    <row r="529" spans="2:3" ht="15.75" customHeight="1">
      <c r="B529" s="55"/>
      <c r="C529" s="55"/>
    </row>
    <row r="530" spans="2:3" ht="15.75" customHeight="1">
      <c r="B530" s="55"/>
      <c r="C530" s="55"/>
    </row>
    <row r="531" spans="2:3" ht="15.75" customHeight="1">
      <c r="B531" s="55"/>
      <c r="C531" s="55"/>
    </row>
    <row r="532" spans="2:3" ht="15.75" customHeight="1">
      <c r="B532" s="55"/>
      <c r="C532" s="55"/>
    </row>
    <row r="533" spans="2:3" ht="15.75" customHeight="1">
      <c r="B533" s="55"/>
      <c r="C533" s="55"/>
    </row>
    <row r="534" spans="2:3" ht="15.75" customHeight="1">
      <c r="B534" s="55"/>
      <c r="C534" s="55"/>
    </row>
    <row r="535" spans="2:3" ht="15.75" customHeight="1">
      <c r="B535" s="55"/>
      <c r="C535" s="55"/>
    </row>
    <row r="536" spans="2:3" ht="15.75" customHeight="1">
      <c r="B536" s="55"/>
      <c r="C536" s="55"/>
    </row>
    <row r="537" spans="2:3" ht="15.75" customHeight="1">
      <c r="B537" s="55"/>
      <c r="C537" s="55"/>
    </row>
    <row r="538" spans="2:3" ht="15.75" customHeight="1">
      <c r="B538" s="55"/>
      <c r="C538" s="55"/>
    </row>
    <row r="539" spans="2:3" ht="15.75" customHeight="1">
      <c r="B539" s="55"/>
      <c r="C539" s="55"/>
    </row>
    <row r="540" spans="2:3" ht="15.75" customHeight="1">
      <c r="B540" s="55"/>
      <c r="C540" s="55"/>
    </row>
    <row r="541" spans="2:3" ht="15.75" customHeight="1">
      <c r="B541" s="55"/>
      <c r="C541" s="55"/>
    </row>
    <row r="542" spans="2:3" ht="15.75" customHeight="1">
      <c r="B542" s="55"/>
      <c r="C542" s="55"/>
    </row>
    <row r="543" spans="2:3" ht="15.75" customHeight="1">
      <c r="B543" s="55"/>
      <c r="C543" s="55"/>
    </row>
    <row r="544" spans="2:3" ht="15.75" customHeight="1">
      <c r="B544" s="55"/>
      <c r="C544" s="55"/>
    </row>
    <row r="545" spans="2:3" ht="15.75" customHeight="1">
      <c r="B545" s="55"/>
      <c r="C545" s="55"/>
    </row>
    <row r="546" spans="2:3" ht="15.75" customHeight="1">
      <c r="B546" s="55"/>
      <c r="C546" s="55"/>
    </row>
    <row r="547" spans="2:3" ht="15.75" customHeight="1">
      <c r="B547" s="55"/>
      <c r="C547" s="55"/>
    </row>
    <row r="548" spans="2:3" ht="15.75" customHeight="1">
      <c r="B548" s="55"/>
      <c r="C548" s="55"/>
    </row>
    <row r="549" spans="2:3" ht="15.75" customHeight="1">
      <c r="B549" s="55"/>
      <c r="C549" s="55"/>
    </row>
    <row r="550" spans="2:3" ht="15.75" customHeight="1">
      <c r="B550" s="55"/>
      <c r="C550" s="55"/>
    </row>
    <row r="551" spans="2:3" ht="15.75" customHeight="1">
      <c r="B551" s="55"/>
      <c r="C551" s="55"/>
    </row>
    <row r="552" spans="2:3" ht="15.75" customHeight="1">
      <c r="B552" s="55"/>
      <c r="C552" s="55"/>
    </row>
    <row r="553" spans="2:3" ht="15.75" customHeight="1">
      <c r="B553" s="55"/>
      <c r="C553" s="55"/>
    </row>
    <row r="554" spans="2:3" ht="15.75" customHeight="1">
      <c r="B554" s="55"/>
      <c r="C554" s="55"/>
    </row>
    <row r="555" spans="2:3" ht="15.75" customHeight="1">
      <c r="B555" s="55"/>
      <c r="C555" s="55"/>
    </row>
    <row r="556" spans="2:3" ht="15.75" customHeight="1">
      <c r="B556" s="55"/>
      <c r="C556" s="55"/>
    </row>
    <row r="557" spans="2:3" ht="15.75" customHeight="1">
      <c r="B557" s="55"/>
      <c r="C557" s="55"/>
    </row>
    <row r="558" spans="2:3" ht="15.75" customHeight="1">
      <c r="B558" s="55"/>
      <c r="C558" s="55"/>
    </row>
    <row r="559" spans="2:3" ht="15.75" customHeight="1">
      <c r="B559" s="55"/>
      <c r="C559" s="55"/>
    </row>
    <row r="560" spans="2:3" ht="15.75" customHeight="1">
      <c r="B560" s="55"/>
      <c r="C560" s="55"/>
    </row>
    <row r="561" spans="2:3" ht="15.75" customHeight="1">
      <c r="B561" s="55"/>
      <c r="C561" s="55"/>
    </row>
    <row r="562" spans="2:3" ht="15.75" customHeight="1">
      <c r="B562" s="55"/>
      <c r="C562" s="55"/>
    </row>
    <row r="563" spans="2:3" ht="15.75" customHeight="1">
      <c r="B563" s="55"/>
      <c r="C563" s="55"/>
    </row>
    <row r="564" spans="2:3" ht="15.75" customHeight="1">
      <c r="B564" s="55"/>
      <c r="C564" s="55"/>
    </row>
    <row r="565" spans="2:3" ht="15.75" customHeight="1">
      <c r="B565" s="55"/>
      <c r="C565" s="55"/>
    </row>
    <row r="566" spans="2:3" ht="15.75" customHeight="1">
      <c r="B566" s="55"/>
      <c r="C566" s="55"/>
    </row>
    <row r="567" spans="2:3" ht="15.75" customHeight="1">
      <c r="B567" s="55"/>
      <c r="C567" s="55"/>
    </row>
    <row r="568" spans="2:3" ht="15.75" customHeight="1">
      <c r="B568" s="55"/>
      <c r="C568" s="55"/>
    </row>
    <row r="569" spans="2:3" ht="15.75" customHeight="1">
      <c r="B569" s="55"/>
      <c r="C569" s="55"/>
    </row>
    <row r="570" spans="2:3" ht="15.75" customHeight="1">
      <c r="B570" s="55"/>
      <c r="C570" s="55"/>
    </row>
    <row r="571" spans="2:3" ht="15.75" customHeight="1">
      <c r="B571" s="55"/>
      <c r="C571" s="55"/>
    </row>
    <row r="572" spans="2:3" ht="15.75" customHeight="1">
      <c r="B572" s="55"/>
      <c r="C572" s="55"/>
    </row>
    <row r="573" spans="2:3" ht="15.75" customHeight="1">
      <c r="B573" s="55"/>
      <c r="C573" s="55"/>
    </row>
    <row r="574" spans="2:3" ht="15.75" customHeight="1">
      <c r="B574" s="55"/>
      <c r="C574" s="55"/>
    </row>
    <row r="575" spans="2:3" ht="15.75" customHeight="1">
      <c r="B575" s="55"/>
      <c r="C575" s="55"/>
    </row>
    <row r="576" spans="2:3" ht="15.75" customHeight="1">
      <c r="B576" s="55"/>
      <c r="C576" s="55"/>
    </row>
    <row r="577" spans="2:3" ht="15.75" customHeight="1">
      <c r="B577" s="55"/>
      <c r="C577" s="55"/>
    </row>
    <row r="578" spans="2:3" ht="15.75" customHeight="1">
      <c r="B578" s="55"/>
      <c r="C578" s="55"/>
    </row>
    <row r="579" spans="2:3" ht="15.75" customHeight="1">
      <c r="B579" s="55"/>
      <c r="C579" s="55"/>
    </row>
    <row r="580" spans="2:3" ht="15.75" customHeight="1">
      <c r="B580" s="55"/>
      <c r="C580" s="55"/>
    </row>
    <row r="581" spans="2:3" ht="15.75" customHeight="1">
      <c r="B581" s="55"/>
      <c r="C581" s="55"/>
    </row>
    <row r="582" spans="2:3" ht="15.75" customHeight="1">
      <c r="B582" s="55"/>
      <c r="C582" s="55"/>
    </row>
    <row r="583" spans="2:3" ht="15.75" customHeight="1">
      <c r="B583" s="55"/>
      <c r="C583" s="55"/>
    </row>
    <row r="584" spans="2:3" ht="15.75" customHeight="1">
      <c r="B584" s="55"/>
      <c r="C584" s="55"/>
    </row>
    <row r="585" spans="2:3" ht="15.75" customHeight="1">
      <c r="B585" s="55"/>
      <c r="C585" s="55"/>
    </row>
    <row r="586" spans="2:3" ht="15.75" customHeight="1">
      <c r="B586" s="55"/>
      <c r="C586" s="55"/>
    </row>
    <row r="587" spans="2:3" ht="15.75" customHeight="1">
      <c r="B587" s="55"/>
      <c r="C587" s="55"/>
    </row>
    <row r="588" spans="2:3" ht="15.75" customHeight="1">
      <c r="B588" s="55"/>
      <c r="C588" s="55"/>
    </row>
    <row r="589" spans="2:3" ht="15.75" customHeight="1">
      <c r="B589" s="55"/>
      <c r="C589" s="55"/>
    </row>
    <row r="590" spans="2:3" ht="15.75" customHeight="1">
      <c r="B590" s="55"/>
      <c r="C590" s="55"/>
    </row>
    <row r="591" spans="2:3" ht="15.75" customHeight="1">
      <c r="B591" s="55"/>
      <c r="C591" s="55"/>
    </row>
    <row r="592" spans="2:3" ht="15.75" customHeight="1">
      <c r="B592" s="55"/>
      <c r="C592" s="55"/>
    </row>
    <row r="593" spans="2:3" ht="15.75" customHeight="1">
      <c r="B593" s="55"/>
      <c r="C593" s="55"/>
    </row>
    <row r="594" spans="2:3" ht="15.75" customHeight="1">
      <c r="B594" s="55"/>
      <c r="C594" s="55"/>
    </row>
    <row r="595" spans="2:3" ht="15.75" customHeight="1">
      <c r="B595" s="55"/>
      <c r="C595" s="55"/>
    </row>
    <row r="596" spans="2:3" ht="15.75" customHeight="1">
      <c r="B596" s="55"/>
      <c r="C596" s="55"/>
    </row>
    <row r="597" spans="2:3" ht="15.75" customHeight="1">
      <c r="B597" s="55"/>
      <c r="C597" s="55"/>
    </row>
    <row r="598" spans="2:3" ht="15.75" customHeight="1">
      <c r="B598" s="55"/>
      <c r="C598" s="55"/>
    </row>
    <row r="599" spans="2:3" ht="15.75" customHeight="1">
      <c r="B599" s="55"/>
      <c r="C599" s="55"/>
    </row>
    <row r="600" spans="2:3" ht="15.75" customHeight="1">
      <c r="B600" s="55"/>
      <c r="C600" s="55"/>
    </row>
    <row r="601" spans="2:3" ht="15.75" customHeight="1">
      <c r="B601" s="55"/>
      <c r="C601" s="55"/>
    </row>
    <row r="602" spans="2:3" ht="15.75" customHeight="1">
      <c r="B602" s="55"/>
      <c r="C602" s="55"/>
    </row>
    <row r="603" spans="2:3" ht="15.75" customHeight="1">
      <c r="B603" s="55"/>
      <c r="C603" s="55"/>
    </row>
    <row r="604" spans="2:3" ht="15.75" customHeight="1">
      <c r="B604" s="55"/>
      <c r="C604" s="55"/>
    </row>
    <row r="605" spans="2:3" ht="15.75" customHeight="1">
      <c r="B605" s="55"/>
      <c r="C605" s="55"/>
    </row>
    <row r="606" spans="2:3" ht="15.75" customHeight="1">
      <c r="B606" s="55"/>
      <c r="C606" s="55"/>
    </row>
    <row r="607" spans="2:3" ht="15.75" customHeight="1">
      <c r="B607" s="55"/>
      <c r="C607" s="55"/>
    </row>
    <row r="608" spans="2:3" ht="15.75" customHeight="1">
      <c r="B608" s="55"/>
      <c r="C608" s="55"/>
    </row>
    <row r="609" spans="2:3" ht="15.75" customHeight="1">
      <c r="B609" s="55"/>
      <c r="C609" s="55"/>
    </row>
    <row r="610" spans="2:3" ht="15.75" customHeight="1">
      <c r="B610" s="55"/>
      <c r="C610" s="55"/>
    </row>
    <row r="611" spans="2:3" ht="15.75" customHeight="1">
      <c r="B611" s="55"/>
      <c r="C611" s="55"/>
    </row>
    <row r="612" spans="2:3" ht="15.75" customHeight="1">
      <c r="B612" s="55"/>
      <c r="C612" s="55"/>
    </row>
    <row r="613" spans="2:3" ht="15.75" customHeight="1">
      <c r="B613" s="55"/>
      <c r="C613" s="55"/>
    </row>
    <row r="614" spans="2:3" ht="15.75" customHeight="1">
      <c r="B614" s="55"/>
      <c r="C614" s="55"/>
    </row>
    <row r="615" spans="2:3" ht="15.75" customHeight="1">
      <c r="B615" s="55"/>
      <c r="C615" s="55"/>
    </row>
    <row r="616" spans="2:3" ht="15.75" customHeight="1">
      <c r="B616" s="55"/>
      <c r="C616" s="55"/>
    </row>
    <row r="617" spans="2:3" ht="15.75" customHeight="1">
      <c r="B617" s="55"/>
      <c r="C617" s="55"/>
    </row>
    <row r="618" spans="2:3" ht="15.75" customHeight="1">
      <c r="B618" s="55"/>
      <c r="C618" s="55"/>
    </row>
    <row r="619" spans="2:3" ht="15.75" customHeight="1">
      <c r="B619" s="55"/>
      <c r="C619" s="55"/>
    </row>
    <row r="620" spans="2:3" ht="15.75" customHeight="1">
      <c r="B620" s="55"/>
      <c r="C620" s="55"/>
    </row>
    <row r="621" spans="2:3" ht="15.75" customHeight="1">
      <c r="B621" s="55"/>
      <c r="C621" s="55"/>
    </row>
    <row r="622" spans="2:3" ht="15.75" customHeight="1">
      <c r="B622" s="55"/>
      <c r="C622" s="55"/>
    </row>
    <row r="623" spans="2:3" ht="15.75" customHeight="1">
      <c r="B623" s="55"/>
      <c r="C623" s="55"/>
    </row>
    <row r="624" spans="2:3" ht="15.75" customHeight="1">
      <c r="B624" s="55"/>
      <c r="C624" s="55"/>
    </row>
    <row r="625" spans="2:3" ht="15.75" customHeight="1">
      <c r="B625" s="55"/>
      <c r="C625" s="55"/>
    </row>
    <row r="626" spans="2:3" ht="15.75" customHeight="1">
      <c r="B626" s="55"/>
      <c r="C626" s="55"/>
    </row>
    <row r="627" spans="2:3" ht="15.75" customHeight="1">
      <c r="B627" s="55"/>
      <c r="C627" s="55"/>
    </row>
    <row r="628" spans="2:3" ht="15.75" customHeight="1">
      <c r="B628" s="55"/>
      <c r="C628" s="55"/>
    </row>
    <row r="629" spans="2:3" ht="15.75" customHeight="1">
      <c r="B629" s="55"/>
      <c r="C629" s="55"/>
    </row>
    <row r="630" spans="2:3" ht="15.75" customHeight="1">
      <c r="B630" s="55"/>
      <c r="C630" s="55"/>
    </row>
    <row r="631" spans="2:3" ht="15.75" customHeight="1">
      <c r="B631" s="55"/>
      <c r="C631" s="55"/>
    </row>
    <row r="632" spans="2:3" ht="15.75" customHeight="1">
      <c r="B632" s="55"/>
      <c r="C632" s="55"/>
    </row>
    <row r="633" spans="2:3" ht="15.75" customHeight="1">
      <c r="B633" s="55"/>
      <c r="C633" s="55"/>
    </row>
    <row r="634" spans="2:3" ht="15.75" customHeight="1">
      <c r="B634" s="55"/>
      <c r="C634" s="55"/>
    </row>
    <row r="635" spans="2:3" ht="15.75" customHeight="1">
      <c r="B635" s="55"/>
      <c r="C635" s="55"/>
    </row>
    <row r="636" spans="2:3" ht="15.75" customHeight="1">
      <c r="B636" s="55"/>
      <c r="C636" s="55"/>
    </row>
    <row r="637" spans="2:3" ht="15.75" customHeight="1">
      <c r="B637" s="55"/>
      <c r="C637" s="55"/>
    </row>
    <row r="638" spans="2:3" ht="15.75" customHeight="1">
      <c r="B638" s="55"/>
      <c r="C638" s="55"/>
    </row>
    <row r="639" spans="2:3" ht="15.75" customHeight="1">
      <c r="B639" s="55"/>
      <c r="C639" s="55"/>
    </row>
    <row r="640" spans="2:3" ht="15.75" customHeight="1">
      <c r="B640" s="55"/>
      <c r="C640" s="55"/>
    </row>
    <row r="641" spans="2:3" ht="15.75" customHeight="1">
      <c r="B641" s="55"/>
      <c r="C641" s="55"/>
    </row>
    <row r="642" spans="2:3" ht="15.75" customHeight="1">
      <c r="B642" s="55"/>
      <c r="C642" s="55"/>
    </row>
    <row r="643" spans="2:3" ht="15.75" customHeight="1">
      <c r="B643" s="55"/>
      <c r="C643" s="55"/>
    </row>
    <row r="644" spans="2:3" ht="15.75" customHeight="1">
      <c r="B644" s="55"/>
      <c r="C644" s="55"/>
    </row>
    <row r="645" spans="2:3" ht="15.75" customHeight="1">
      <c r="B645" s="55"/>
      <c r="C645" s="55"/>
    </row>
    <row r="646" spans="2:3" ht="15.75" customHeight="1">
      <c r="B646" s="55"/>
      <c r="C646" s="55"/>
    </row>
    <row r="647" spans="2:3" ht="15.75" customHeight="1">
      <c r="B647" s="55"/>
      <c r="C647" s="55"/>
    </row>
    <row r="648" spans="2:3" ht="15.75" customHeight="1">
      <c r="B648" s="55"/>
      <c r="C648" s="55"/>
    </row>
    <row r="649" spans="2:3" ht="15.75" customHeight="1">
      <c r="B649" s="55"/>
      <c r="C649" s="55"/>
    </row>
    <row r="650" spans="2:3" ht="15.75" customHeight="1">
      <c r="B650" s="55"/>
      <c r="C650" s="55"/>
    </row>
    <row r="651" spans="2:3" ht="15.75" customHeight="1">
      <c r="B651" s="55"/>
      <c r="C651" s="55"/>
    </row>
    <row r="652" spans="2:3" ht="15.75" customHeight="1">
      <c r="B652" s="55"/>
      <c r="C652" s="55"/>
    </row>
    <row r="653" spans="2:3" ht="15.75" customHeight="1">
      <c r="B653" s="55"/>
      <c r="C653" s="55"/>
    </row>
    <row r="654" spans="2:3" ht="15.75" customHeight="1">
      <c r="B654" s="55"/>
      <c r="C654" s="55"/>
    </row>
    <row r="655" spans="2:3" ht="15.75" customHeight="1">
      <c r="B655" s="55"/>
      <c r="C655" s="55"/>
    </row>
    <row r="656" spans="2:3" ht="15.75" customHeight="1">
      <c r="B656" s="55"/>
      <c r="C656" s="55"/>
    </row>
    <row r="657" spans="2:3" ht="15.75" customHeight="1">
      <c r="B657" s="55"/>
      <c r="C657" s="55"/>
    </row>
    <row r="658" spans="2:3" ht="15.75" customHeight="1">
      <c r="B658" s="55"/>
      <c r="C658" s="55"/>
    </row>
    <row r="659" spans="2:3" ht="15.75" customHeight="1">
      <c r="B659" s="55"/>
      <c r="C659" s="55"/>
    </row>
    <row r="660" spans="2:3" ht="15.75" customHeight="1">
      <c r="B660" s="55"/>
      <c r="C660" s="55"/>
    </row>
    <row r="661" spans="2:3" ht="15.75" customHeight="1">
      <c r="B661" s="55"/>
      <c r="C661" s="55"/>
    </row>
    <row r="662" spans="2:3" ht="15.75" customHeight="1">
      <c r="B662" s="55"/>
      <c r="C662" s="55"/>
    </row>
    <row r="663" spans="2:3" ht="15.75" customHeight="1">
      <c r="B663" s="55"/>
      <c r="C663" s="55"/>
    </row>
    <row r="664" spans="2:3" ht="15.75" customHeight="1">
      <c r="B664" s="55"/>
      <c r="C664" s="55"/>
    </row>
    <row r="665" spans="2:3" ht="15.75" customHeight="1">
      <c r="B665" s="55"/>
      <c r="C665" s="55"/>
    </row>
    <row r="666" spans="2:3" ht="15.75" customHeight="1">
      <c r="B666" s="55"/>
      <c r="C666" s="55"/>
    </row>
    <row r="667" spans="2:3" ht="15.75" customHeight="1">
      <c r="B667" s="55"/>
      <c r="C667" s="55"/>
    </row>
    <row r="668" spans="2:3" ht="15.75" customHeight="1">
      <c r="B668" s="55"/>
      <c r="C668" s="55"/>
    </row>
    <row r="669" spans="2:3" ht="15.75" customHeight="1">
      <c r="B669" s="55"/>
      <c r="C669" s="55"/>
    </row>
    <row r="670" spans="2:3" ht="15.75" customHeight="1">
      <c r="B670" s="55"/>
      <c r="C670" s="55"/>
    </row>
    <row r="671" spans="2:3" ht="15.75" customHeight="1">
      <c r="B671" s="55"/>
      <c r="C671" s="55"/>
    </row>
    <row r="672" spans="2:3" ht="15.75" customHeight="1">
      <c r="B672" s="55"/>
      <c r="C672" s="55"/>
    </row>
    <row r="673" spans="2:3" ht="15.75" customHeight="1">
      <c r="B673" s="55"/>
      <c r="C673" s="55"/>
    </row>
    <row r="674" spans="2:3" ht="15.75" customHeight="1">
      <c r="B674" s="55"/>
      <c r="C674" s="55"/>
    </row>
    <row r="675" spans="2:3" ht="15.75" customHeight="1">
      <c r="B675" s="55"/>
      <c r="C675" s="55"/>
    </row>
    <row r="676" spans="2:3" ht="15.75" customHeight="1">
      <c r="B676" s="55"/>
      <c r="C676" s="55"/>
    </row>
    <row r="677" spans="2:3" ht="15.75" customHeight="1">
      <c r="B677" s="55"/>
      <c r="C677" s="55"/>
    </row>
    <row r="678" spans="2:3" ht="15.75" customHeight="1">
      <c r="B678" s="55"/>
      <c r="C678" s="55"/>
    </row>
    <row r="679" spans="2:3" ht="15.75" customHeight="1">
      <c r="B679" s="55"/>
      <c r="C679" s="55"/>
    </row>
    <row r="680" spans="2:3" ht="15.75" customHeight="1">
      <c r="B680" s="55"/>
      <c r="C680" s="55"/>
    </row>
    <row r="681" spans="2:3" ht="15.75" customHeight="1">
      <c r="B681" s="55"/>
      <c r="C681" s="55"/>
    </row>
    <row r="682" spans="2:3" ht="15.75" customHeight="1">
      <c r="B682" s="55"/>
      <c r="C682" s="55"/>
    </row>
    <row r="683" spans="2:3" ht="15.75" customHeight="1">
      <c r="B683" s="55"/>
      <c r="C683" s="55"/>
    </row>
    <row r="684" spans="2:3" ht="15.75" customHeight="1">
      <c r="B684" s="55"/>
      <c r="C684" s="55"/>
    </row>
    <row r="685" spans="2:3" ht="15.75" customHeight="1">
      <c r="B685" s="55"/>
      <c r="C685" s="55"/>
    </row>
    <row r="686" spans="2:3" ht="15.75" customHeight="1">
      <c r="B686" s="55"/>
      <c r="C686" s="55"/>
    </row>
    <row r="687" spans="2:3" ht="15.75" customHeight="1">
      <c r="B687" s="55"/>
      <c r="C687" s="55"/>
    </row>
    <row r="688" spans="2:3" ht="15.75" customHeight="1">
      <c r="B688" s="55"/>
      <c r="C688" s="55"/>
    </row>
    <row r="689" spans="2:3" ht="15.75" customHeight="1">
      <c r="B689" s="55"/>
      <c r="C689" s="55"/>
    </row>
    <row r="690" spans="2:3" ht="15.75" customHeight="1">
      <c r="B690" s="55"/>
      <c r="C690" s="55"/>
    </row>
    <row r="691" spans="2:3" ht="15.75" customHeight="1">
      <c r="B691" s="55"/>
      <c r="C691" s="55"/>
    </row>
    <row r="692" spans="2:3" ht="15.75" customHeight="1">
      <c r="B692" s="55"/>
      <c r="C692" s="55"/>
    </row>
    <row r="693" spans="2:3" ht="15.75" customHeight="1">
      <c r="B693" s="55"/>
      <c r="C693" s="55"/>
    </row>
    <row r="694" spans="2:3" ht="15.75" customHeight="1">
      <c r="B694" s="55"/>
      <c r="C694" s="55"/>
    </row>
    <row r="695" spans="2:3" ht="15.75" customHeight="1">
      <c r="B695" s="55"/>
      <c r="C695" s="55"/>
    </row>
    <row r="696" spans="2:3" ht="15.75" customHeight="1">
      <c r="B696" s="55"/>
      <c r="C696" s="55"/>
    </row>
    <row r="697" spans="2:3" ht="15.75" customHeight="1">
      <c r="B697" s="55"/>
      <c r="C697" s="55"/>
    </row>
    <row r="698" spans="2:3" ht="15.75" customHeight="1">
      <c r="B698" s="55"/>
      <c r="C698" s="55"/>
    </row>
    <row r="699" spans="2:3" ht="15.75" customHeight="1">
      <c r="B699" s="55"/>
      <c r="C699" s="55"/>
    </row>
    <row r="700" spans="2:3" ht="15.75" customHeight="1">
      <c r="B700" s="55"/>
      <c r="C700" s="55"/>
    </row>
    <row r="701" spans="2:3" ht="15.75" customHeight="1">
      <c r="B701" s="55"/>
      <c r="C701" s="55"/>
    </row>
    <row r="702" spans="2:3" ht="15.75" customHeight="1">
      <c r="B702" s="55"/>
      <c r="C702" s="55"/>
    </row>
    <row r="703" spans="2:3" ht="15.75" customHeight="1">
      <c r="B703" s="55"/>
      <c r="C703" s="55"/>
    </row>
    <row r="704" spans="2:3" ht="15.75" customHeight="1">
      <c r="B704" s="55"/>
      <c r="C704" s="55"/>
    </row>
    <row r="705" spans="2:3" ht="15.75" customHeight="1">
      <c r="B705" s="55"/>
      <c r="C705" s="55"/>
    </row>
    <row r="706" spans="2:3" ht="15.75" customHeight="1">
      <c r="B706" s="55"/>
      <c r="C706" s="55"/>
    </row>
    <row r="707" spans="2:3" ht="15.75" customHeight="1">
      <c r="B707" s="55"/>
      <c r="C707" s="55"/>
    </row>
    <row r="708" spans="2:3" ht="15.75" customHeight="1">
      <c r="B708" s="55"/>
      <c r="C708" s="55"/>
    </row>
    <row r="709" spans="2:3" ht="15.75" customHeight="1">
      <c r="B709" s="55"/>
      <c r="C709" s="55"/>
    </row>
    <row r="710" spans="2:3" ht="15.75" customHeight="1">
      <c r="B710" s="55"/>
      <c r="C710" s="55"/>
    </row>
    <row r="711" spans="2:3" ht="15.75" customHeight="1">
      <c r="B711" s="55"/>
      <c r="C711" s="55"/>
    </row>
    <row r="712" spans="2:3" ht="15.75" customHeight="1">
      <c r="B712" s="55"/>
      <c r="C712" s="55"/>
    </row>
    <row r="713" spans="2:3" ht="15.75" customHeight="1">
      <c r="B713" s="55"/>
      <c r="C713" s="55"/>
    </row>
    <row r="714" spans="2:3" ht="15.75" customHeight="1">
      <c r="B714" s="55"/>
      <c r="C714" s="55"/>
    </row>
    <row r="715" spans="2:3" ht="15.75" customHeight="1">
      <c r="B715" s="55"/>
      <c r="C715" s="55"/>
    </row>
    <row r="716" spans="2:3" ht="15.75" customHeight="1">
      <c r="B716" s="55"/>
      <c r="C716" s="55"/>
    </row>
    <row r="717" spans="2:3" ht="15.75" customHeight="1">
      <c r="B717" s="55"/>
      <c r="C717" s="55"/>
    </row>
    <row r="718" spans="2:3" ht="15.75" customHeight="1">
      <c r="B718" s="55"/>
      <c r="C718" s="55"/>
    </row>
    <row r="719" spans="2:3" ht="15.75" customHeight="1">
      <c r="B719" s="55"/>
      <c r="C719" s="55"/>
    </row>
    <row r="720" spans="2:3" ht="15.75" customHeight="1">
      <c r="B720" s="55"/>
      <c r="C720" s="55"/>
    </row>
    <row r="721" spans="2:3" ht="15.75" customHeight="1">
      <c r="B721" s="55"/>
      <c r="C721" s="55"/>
    </row>
    <row r="722" spans="2:3" ht="15.75" customHeight="1">
      <c r="B722" s="55"/>
      <c r="C722" s="55"/>
    </row>
    <row r="723" spans="2:3" ht="15.75" customHeight="1">
      <c r="B723" s="55"/>
      <c r="C723" s="55"/>
    </row>
    <row r="724" spans="2:3" ht="15.75" customHeight="1">
      <c r="B724" s="55"/>
      <c r="C724" s="55"/>
    </row>
    <row r="725" spans="2:3" ht="15.75" customHeight="1">
      <c r="B725" s="55"/>
      <c r="C725" s="55"/>
    </row>
    <row r="726" spans="2:3" ht="15.75" customHeight="1">
      <c r="B726" s="55"/>
      <c r="C726" s="55"/>
    </row>
    <row r="727" spans="2:3" ht="15.75" customHeight="1">
      <c r="B727" s="55"/>
      <c r="C727" s="55"/>
    </row>
    <row r="728" spans="2:3" ht="15.75" customHeight="1">
      <c r="B728" s="55"/>
      <c r="C728" s="55"/>
    </row>
    <row r="729" spans="2:3" ht="15.75" customHeight="1">
      <c r="B729" s="55"/>
      <c r="C729" s="55"/>
    </row>
    <row r="730" spans="2:3" ht="15.75" customHeight="1">
      <c r="B730" s="55"/>
      <c r="C730" s="55"/>
    </row>
    <row r="731" spans="2:3" ht="15.75" customHeight="1">
      <c r="B731" s="55"/>
      <c r="C731" s="55"/>
    </row>
    <row r="732" spans="2:3" ht="15.75" customHeight="1">
      <c r="B732" s="55"/>
      <c r="C732" s="55"/>
    </row>
    <row r="733" spans="2:3" ht="15.75" customHeight="1">
      <c r="B733" s="55"/>
      <c r="C733" s="55"/>
    </row>
    <row r="734" spans="2:3" ht="15.75" customHeight="1">
      <c r="B734" s="55"/>
      <c r="C734" s="55"/>
    </row>
    <row r="735" spans="2:3" ht="15.75" customHeight="1">
      <c r="B735" s="55"/>
      <c r="C735" s="55"/>
    </row>
    <row r="736" spans="2:3" ht="15.75" customHeight="1">
      <c r="B736" s="55"/>
      <c r="C736" s="55"/>
    </row>
    <row r="737" spans="2:3" ht="15.75" customHeight="1">
      <c r="B737" s="55"/>
      <c r="C737" s="55"/>
    </row>
    <row r="738" spans="2:3" ht="15.75" customHeight="1">
      <c r="B738" s="55"/>
      <c r="C738" s="55"/>
    </row>
    <row r="739" spans="2:3" ht="15.75" customHeight="1">
      <c r="B739" s="55"/>
      <c r="C739" s="55"/>
    </row>
    <row r="740" spans="2:3" ht="15.75" customHeight="1">
      <c r="B740" s="55"/>
      <c r="C740" s="55"/>
    </row>
    <row r="741" spans="2:3" ht="15.75" customHeight="1">
      <c r="B741" s="55"/>
      <c r="C741" s="55"/>
    </row>
    <row r="742" spans="2:3" ht="15.75" customHeight="1">
      <c r="B742" s="55"/>
      <c r="C742" s="55"/>
    </row>
    <row r="743" spans="2:3" ht="15.75" customHeight="1">
      <c r="B743" s="55"/>
      <c r="C743" s="55"/>
    </row>
    <row r="744" spans="2:3" ht="15.75" customHeight="1">
      <c r="B744" s="55"/>
      <c r="C744" s="55"/>
    </row>
    <row r="745" spans="2:3" ht="15.75" customHeight="1">
      <c r="B745" s="55"/>
      <c r="C745" s="55"/>
    </row>
    <row r="746" spans="2:3" ht="15.75" customHeight="1">
      <c r="B746" s="55"/>
      <c r="C746" s="55"/>
    </row>
    <row r="747" spans="2:3" ht="15.75" customHeight="1">
      <c r="B747" s="55"/>
      <c r="C747" s="55"/>
    </row>
    <row r="748" spans="2:3" ht="15.75" customHeight="1">
      <c r="B748" s="55"/>
      <c r="C748" s="55"/>
    </row>
    <row r="749" spans="2:3" ht="15.75" customHeight="1">
      <c r="B749" s="55"/>
      <c r="C749" s="55"/>
    </row>
    <row r="750" spans="2:3" ht="15.75" customHeight="1">
      <c r="B750" s="55"/>
      <c r="C750" s="55"/>
    </row>
    <row r="751" spans="2:3" ht="15.75" customHeight="1">
      <c r="B751" s="55"/>
      <c r="C751" s="55"/>
    </row>
    <row r="752" spans="2:3" ht="15.75" customHeight="1">
      <c r="B752" s="55"/>
      <c r="C752" s="55"/>
    </row>
    <row r="753" spans="2:3" ht="15.75" customHeight="1">
      <c r="B753" s="55"/>
      <c r="C753" s="55"/>
    </row>
    <row r="754" spans="2:3" ht="15.75" customHeight="1">
      <c r="B754" s="55"/>
      <c r="C754" s="55"/>
    </row>
    <row r="755" spans="2:3" ht="15.75" customHeight="1">
      <c r="B755" s="55"/>
      <c r="C755" s="55"/>
    </row>
    <row r="756" spans="2:3" ht="15.75" customHeight="1">
      <c r="B756" s="55"/>
      <c r="C756" s="55"/>
    </row>
    <row r="757" spans="2:3" ht="15.75" customHeight="1">
      <c r="B757" s="55"/>
      <c r="C757" s="55"/>
    </row>
    <row r="758" spans="2:3" ht="15.75" customHeight="1">
      <c r="B758" s="55"/>
      <c r="C758" s="55"/>
    </row>
    <row r="759" spans="2:3" ht="15.75" customHeight="1">
      <c r="B759" s="55"/>
      <c r="C759" s="55"/>
    </row>
    <row r="760" spans="2:3" ht="15.75" customHeight="1">
      <c r="B760" s="55"/>
      <c r="C760" s="55"/>
    </row>
    <row r="761" spans="2:3" ht="15.75" customHeight="1">
      <c r="B761" s="55"/>
      <c r="C761" s="55"/>
    </row>
    <row r="762" spans="2:3" ht="15.75" customHeight="1">
      <c r="B762" s="55"/>
      <c r="C762" s="55"/>
    </row>
    <row r="763" spans="2:3" ht="15.75" customHeight="1">
      <c r="B763" s="55"/>
      <c r="C763" s="55"/>
    </row>
    <row r="764" spans="2:3" ht="15.75" customHeight="1">
      <c r="B764" s="55"/>
      <c r="C764" s="55"/>
    </row>
    <row r="765" spans="2:3" ht="15.75" customHeight="1">
      <c r="B765" s="55"/>
      <c r="C765" s="55"/>
    </row>
    <row r="766" spans="2:3" ht="15.75" customHeight="1">
      <c r="B766" s="55"/>
      <c r="C766" s="55"/>
    </row>
    <row r="767" spans="2:3" ht="15.75" customHeight="1">
      <c r="B767" s="55"/>
      <c r="C767" s="55"/>
    </row>
    <row r="768" spans="2:3" ht="15.75" customHeight="1">
      <c r="B768" s="55"/>
      <c r="C768" s="55"/>
    </row>
    <row r="769" spans="2:3" ht="15.75" customHeight="1">
      <c r="B769" s="55"/>
      <c r="C769" s="55"/>
    </row>
    <row r="770" spans="2:3" ht="15.75" customHeight="1">
      <c r="B770" s="55"/>
      <c r="C770" s="55"/>
    </row>
    <row r="771" spans="2:3" ht="15.75" customHeight="1">
      <c r="B771" s="55"/>
      <c r="C771" s="55"/>
    </row>
    <row r="772" spans="2:3" ht="15.75" customHeight="1">
      <c r="B772" s="55"/>
      <c r="C772" s="55"/>
    </row>
    <row r="773" spans="2:3" ht="15.75" customHeight="1">
      <c r="B773" s="55"/>
      <c r="C773" s="55"/>
    </row>
    <row r="774" spans="2:3" ht="15.75" customHeight="1">
      <c r="B774" s="55"/>
      <c r="C774" s="55"/>
    </row>
    <row r="775" spans="2:3" ht="15.75" customHeight="1">
      <c r="B775" s="55"/>
      <c r="C775" s="55"/>
    </row>
    <row r="776" spans="2:3" ht="15.75" customHeight="1">
      <c r="B776" s="55"/>
      <c r="C776" s="55"/>
    </row>
    <row r="777" spans="2:3" ht="15.75" customHeight="1">
      <c r="B777" s="55"/>
      <c r="C777" s="55"/>
    </row>
    <row r="778" spans="2:3" ht="15.75" customHeight="1">
      <c r="B778" s="55"/>
      <c r="C778" s="55"/>
    </row>
    <row r="779" spans="2:3" ht="15.75" customHeight="1">
      <c r="B779" s="55"/>
      <c r="C779" s="55"/>
    </row>
    <row r="780" spans="2:3" ht="15.75" customHeight="1">
      <c r="B780" s="55"/>
      <c r="C780" s="55"/>
    </row>
    <row r="781" spans="2:3" ht="15.75" customHeight="1">
      <c r="B781" s="55"/>
      <c r="C781" s="55"/>
    </row>
    <row r="782" spans="2:3" ht="15.75" customHeight="1">
      <c r="B782" s="55"/>
      <c r="C782" s="55"/>
    </row>
    <row r="783" spans="2:3" ht="15.75" customHeight="1">
      <c r="B783" s="55"/>
      <c r="C783" s="55"/>
    </row>
    <row r="784" spans="2:3" ht="15.75" customHeight="1">
      <c r="B784" s="55"/>
      <c r="C784" s="55"/>
    </row>
    <row r="785" spans="2:3" ht="15.75" customHeight="1">
      <c r="B785" s="55"/>
      <c r="C785" s="55"/>
    </row>
    <row r="786" spans="2:3" ht="15.75" customHeight="1">
      <c r="B786" s="55"/>
      <c r="C786" s="55"/>
    </row>
    <row r="787" spans="2:3" ht="15.75" customHeight="1">
      <c r="B787" s="55"/>
      <c r="C787" s="55"/>
    </row>
    <row r="788" spans="2:3" ht="15.75" customHeight="1">
      <c r="B788" s="55"/>
      <c r="C788" s="55"/>
    </row>
    <row r="789" spans="2:3" ht="15.75" customHeight="1">
      <c r="B789" s="55"/>
      <c r="C789" s="55"/>
    </row>
    <row r="790" spans="2:3" ht="15.75" customHeight="1">
      <c r="B790" s="55"/>
      <c r="C790" s="55"/>
    </row>
    <row r="791" spans="2:3" ht="15.75" customHeight="1">
      <c r="B791" s="55"/>
      <c r="C791" s="55"/>
    </row>
    <row r="792" spans="2:3" ht="15.75" customHeight="1">
      <c r="B792" s="55"/>
      <c r="C792" s="55"/>
    </row>
    <row r="793" spans="2:3" ht="15.75" customHeight="1">
      <c r="B793" s="55"/>
      <c r="C793" s="55"/>
    </row>
    <row r="794" spans="2:3" ht="15.75" customHeight="1">
      <c r="B794" s="55"/>
      <c r="C794" s="55"/>
    </row>
    <row r="795" spans="2:3" ht="15.75" customHeight="1">
      <c r="B795" s="55"/>
      <c r="C795" s="55"/>
    </row>
    <row r="796" spans="2:3" ht="15.75" customHeight="1">
      <c r="B796" s="55"/>
      <c r="C796" s="55"/>
    </row>
    <row r="797" spans="2:3" ht="15.75" customHeight="1">
      <c r="B797" s="55"/>
      <c r="C797" s="55"/>
    </row>
    <row r="798" spans="2:3" ht="15.75" customHeight="1">
      <c r="B798" s="55"/>
      <c r="C798" s="55"/>
    </row>
    <row r="799" spans="2:3" ht="15.75" customHeight="1">
      <c r="B799" s="55"/>
      <c r="C799" s="55"/>
    </row>
    <row r="800" spans="2:3" ht="15.75" customHeight="1">
      <c r="B800" s="55"/>
      <c r="C800" s="55"/>
    </row>
    <row r="801" spans="2:3" ht="15.75" customHeight="1">
      <c r="B801" s="55"/>
      <c r="C801" s="55"/>
    </row>
    <row r="802" spans="2:3" ht="15.75" customHeight="1">
      <c r="B802" s="55"/>
      <c r="C802" s="55"/>
    </row>
    <row r="803" spans="2:3" ht="15.75" customHeight="1">
      <c r="B803" s="55"/>
      <c r="C803" s="55"/>
    </row>
    <row r="804" spans="2:3" ht="15.75" customHeight="1">
      <c r="B804" s="55"/>
      <c r="C804" s="55"/>
    </row>
    <row r="805" spans="2:3" ht="15.75" customHeight="1">
      <c r="B805" s="55"/>
      <c r="C805" s="55"/>
    </row>
    <row r="806" spans="2:3" ht="15.75" customHeight="1">
      <c r="B806" s="55"/>
      <c r="C806" s="55"/>
    </row>
    <row r="807" spans="2:3" ht="15.75" customHeight="1">
      <c r="B807" s="55"/>
      <c r="C807" s="55"/>
    </row>
    <row r="808" spans="2:3" ht="15.75" customHeight="1">
      <c r="B808" s="55"/>
      <c r="C808" s="55"/>
    </row>
    <row r="809" spans="2:3" ht="15.75" customHeight="1">
      <c r="B809" s="55"/>
      <c r="C809" s="55"/>
    </row>
    <row r="810" spans="2:3" ht="15.75" customHeight="1">
      <c r="B810" s="55"/>
      <c r="C810" s="55"/>
    </row>
    <row r="811" spans="2:3" ht="15.75" customHeight="1">
      <c r="B811" s="55"/>
      <c r="C811" s="55"/>
    </row>
    <row r="812" spans="2:3" ht="15.75" customHeight="1">
      <c r="B812" s="55"/>
      <c r="C812" s="55"/>
    </row>
    <row r="813" spans="2:3" ht="15.75" customHeight="1">
      <c r="B813" s="55"/>
      <c r="C813" s="55"/>
    </row>
    <row r="814" spans="2:3" ht="15.75" customHeight="1">
      <c r="B814" s="55"/>
      <c r="C814" s="55"/>
    </row>
    <row r="815" spans="2:3" ht="15.75" customHeight="1">
      <c r="B815" s="55"/>
      <c r="C815" s="55"/>
    </row>
    <row r="816" spans="2:3" ht="15.75" customHeight="1">
      <c r="B816" s="55"/>
      <c r="C816" s="55"/>
    </row>
    <row r="817" spans="2:3" ht="15.75" customHeight="1">
      <c r="B817" s="55"/>
      <c r="C817" s="55"/>
    </row>
    <row r="818" spans="2:3" ht="15.75" customHeight="1">
      <c r="B818" s="55"/>
      <c r="C818" s="55"/>
    </row>
    <row r="819" spans="2:3" ht="15.75" customHeight="1">
      <c r="B819" s="55"/>
      <c r="C819" s="55"/>
    </row>
    <row r="820" spans="2:3" ht="15.75" customHeight="1">
      <c r="B820" s="55"/>
      <c r="C820" s="55"/>
    </row>
    <row r="821" spans="2:3" ht="15.75" customHeight="1">
      <c r="B821" s="55"/>
      <c r="C821" s="55"/>
    </row>
    <row r="822" spans="2:3" ht="15.75" customHeight="1">
      <c r="B822" s="55"/>
      <c r="C822" s="55"/>
    </row>
    <row r="823" spans="2:3" ht="15.75" customHeight="1">
      <c r="B823" s="55"/>
      <c r="C823" s="55"/>
    </row>
    <row r="824" spans="2:3" ht="15.75" customHeight="1">
      <c r="B824" s="55"/>
      <c r="C824" s="55"/>
    </row>
    <row r="825" spans="2:3" ht="15.75" customHeight="1">
      <c r="B825" s="55"/>
      <c r="C825" s="55"/>
    </row>
    <row r="826" spans="2:3" ht="15.75" customHeight="1">
      <c r="B826" s="55"/>
      <c r="C826" s="55"/>
    </row>
    <row r="827" spans="2:3" ht="15.75" customHeight="1">
      <c r="B827" s="55"/>
      <c r="C827" s="55"/>
    </row>
    <row r="828" spans="2:3" ht="15.75" customHeight="1">
      <c r="B828" s="55"/>
      <c r="C828" s="55"/>
    </row>
    <row r="829" spans="2:3" ht="15.75" customHeight="1">
      <c r="B829" s="55"/>
      <c r="C829" s="55"/>
    </row>
    <row r="830" spans="2:3" ht="15.75" customHeight="1">
      <c r="B830" s="55"/>
      <c r="C830" s="55"/>
    </row>
    <row r="831" spans="2:3" ht="15.75" customHeight="1">
      <c r="B831" s="55"/>
      <c r="C831" s="55"/>
    </row>
    <row r="832" spans="2:3" ht="15.75" customHeight="1">
      <c r="B832" s="55"/>
      <c r="C832" s="55"/>
    </row>
    <row r="833" spans="2:3" ht="15.75" customHeight="1">
      <c r="B833" s="55"/>
      <c r="C833" s="55"/>
    </row>
    <row r="834" spans="2:3" ht="15.75" customHeight="1">
      <c r="B834" s="55"/>
      <c r="C834" s="55"/>
    </row>
    <row r="835" spans="2:3" ht="15.75" customHeight="1">
      <c r="B835" s="55"/>
      <c r="C835" s="55"/>
    </row>
    <row r="836" spans="2:3" ht="15.75" customHeight="1">
      <c r="B836" s="55"/>
      <c r="C836" s="55"/>
    </row>
    <row r="837" spans="2:3" ht="15.75" customHeight="1">
      <c r="B837" s="55"/>
      <c r="C837" s="55"/>
    </row>
    <row r="838" spans="2:3" ht="15.75" customHeight="1">
      <c r="B838" s="55"/>
      <c r="C838" s="55"/>
    </row>
    <row r="839" spans="2:3" ht="15.75" customHeight="1">
      <c r="B839" s="55"/>
      <c r="C839" s="55"/>
    </row>
    <row r="840" spans="2:3" ht="15.75" customHeight="1">
      <c r="B840" s="55"/>
      <c r="C840" s="55"/>
    </row>
    <row r="841" spans="2:3" ht="15.75" customHeight="1">
      <c r="B841" s="55"/>
      <c r="C841" s="55"/>
    </row>
    <row r="842" spans="2:3" ht="15.75" customHeight="1">
      <c r="B842" s="55"/>
      <c r="C842" s="55"/>
    </row>
    <row r="843" spans="2:3" ht="15.75" customHeight="1">
      <c r="B843" s="55"/>
      <c r="C843" s="55"/>
    </row>
    <row r="844" spans="2:3" ht="15.75" customHeight="1">
      <c r="B844" s="55"/>
      <c r="C844" s="55"/>
    </row>
    <row r="845" spans="2:3" ht="15.75" customHeight="1">
      <c r="B845" s="55"/>
      <c r="C845" s="55"/>
    </row>
    <row r="846" spans="2:3" ht="15.75" customHeight="1">
      <c r="B846" s="55"/>
      <c r="C846" s="55"/>
    </row>
    <row r="847" spans="2:3" ht="15.75" customHeight="1">
      <c r="B847" s="55"/>
      <c r="C847" s="55"/>
    </row>
    <row r="848" spans="2:3" ht="15.75" customHeight="1">
      <c r="B848" s="55"/>
      <c r="C848" s="55"/>
    </row>
    <row r="849" spans="2:3" ht="15.75" customHeight="1">
      <c r="B849" s="55"/>
      <c r="C849" s="55"/>
    </row>
    <row r="850" spans="2:3" ht="15.75" customHeight="1">
      <c r="B850" s="55"/>
      <c r="C850" s="55"/>
    </row>
    <row r="851" spans="2:3" ht="15.75" customHeight="1">
      <c r="B851" s="55"/>
      <c r="C851" s="55"/>
    </row>
    <row r="852" spans="2:3" ht="15.75" customHeight="1">
      <c r="B852" s="55"/>
      <c r="C852" s="55"/>
    </row>
    <row r="853" spans="2:3" ht="15.75" customHeight="1">
      <c r="B853" s="55"/>
      <c r="C853" s="55"/>
    </row>
    <row r="854" spans="2:3" ht="15.75" customHeight="1">
      <c r="B854" s="55"/>
      <c r="C854" s="55"/>
    </row>
    <row r="855" spans="2:3" ht="15.75" customHeight="1">
      <c r="B855" s="55"/>
      <c r="C855" s="55"/>
    </row>
    <row r="856" spans="2:3" ht="15.75" customHeight="1">
      <c r="B856" s="55"/>
      <c r="C856" s="55"/>
    </row>
    <row r="857" spans="2:3" ht="15.75" customHeight="1">
      <c r="B857" s="55"/>
      <c r="C857" s="55"/>
    </row>
    <row r="858" spans="2:3" ht="15.75" customHeight="1">
      <c r="B858" s="55"/>
      <c r="C858" s="55"/>
    </row>
    <row r="859" spans="2:3" ht="15.75" customHeight="1">
      <c r="B859" s="55"/>
      <c r="C859" s="55"/>
    </row>
    <row r="860" spans="2:3" ht="15.75" customHeight="1">
      <c r="B860" s="55"/>
      <c r="C860" s="55"/>
    </row>
    <row r="861" spans="2:3" ht="15.75" customHeight="1">
      <c r="B861" s="55"/>
      <c r="C861" s="55"/>
    </row>
    <row r="862" spans="2:3" ht="15.75" customHeight="1">
      <c r="B862" s="55"/>
      <c r="C862" s="55"/>
    </row>
    <row r="863" spans="2:3" ht="15.75" customHeight="1">
      <c r="B863" s="55"/>
      <c r="C863" s="55"/>
    </row>
    <row r="864" spans="2:3" ht="15.75" customHeight="1">
      <c r="B864" s="55"/>
      <c r="C864" s="55"/>
    </row>
    <row r="865" spans="2:3" ht="15.75" customHeight="1">
      <c r="B865" s="55"/>
      <c r="C865" s="55"/>
    </row>
    <row r="866" spans="2:3" ht="15.75" customHeight="1">
      <c r="B866" s="55"/>
      <c r="C866" s="55"/>
    </row>
    <row r="867" spans="2:3" ht="15.75" customHeight="1">
      <c r="B867" s="55"/>
      <c r="C867" s="55"/>
    </row>
    <row r="868" spans="2:3" ht="15.75" customHeight="1">
      <c r="B868" s="55"/>
      <c r="C868" s="55"/>
    </row>
    <row r="869" spans="2:3" ht="15.75" customHeight="1">
      <c r="B869" s="55"/>
      <c r="C869" s="55"/>
    </row>
    <row r="870" spans="2:3" ht="15.75" customHeight="1">
      <c r="B870" s="55"/>
      <c r="C870" s="55"/>
    </row>
    <row r="871" spans="2:3" ht="15.75" customHeight="1">
      <c r="B871" s="55"/>
      <c r="C871" s="55"/>
    </row>
    <row r="872" spans="2:3" ht="15.75" customHeight="1">
      <c r="B872" s="55"/>
      <c r="C872" s="55"/>
    </row>
    <row r="873" spans="2:3" ht="15.75" customHeight="1">
      <c r="B873" s="55"/>
      <c r="C873" s="55"/>
    </row>
    <row r="874" spans="2:3" ht="15.75" customHeight="1">
      <c r="B874" s="55"/>
      <c r="C874" s="55"/>
    </row>
    <row r="875" spans="2:3" ht="15.75" customHeight="1">
      <c r="B875" s="55"/>
      <c r="C875" s="55"/>
    </row>
    <row r="876" spans="2:3" ht="15.75" customHeight="1">
      <c r="B876" s="55"/>
      <c r="C876" s="55"/>
    </row>
    <row r="877" spans="2:3" ht="15.75" customHeight="1">
      <c r="B877" s="55"/>
      <c r="C877" s="55"/>
    </row>
    <row r="878" spans="2:3" ht="15.75" customHeight="1">
      <c r="B878" s="55"/>
      <c r="C878" s="55"/>
    </row>
    <row r="879" spans="2:3" ht="15.75" customHeight="1">
      <c r="B879" s="55"/>
      <c r="C879" s="55"/>
    </row>
    <row r="880" spans="2:3" ht="15.75" customHeight="1">
      <c r="B880" s="55"/>
      <c r="C880" s="55"/>
    </row>
    <row r="881" spans="2:3" ht="15.75" customHeight="1">
      <c r="B881" s="55"/>
      <c r="C881" s="55"/>
    </row>
    <row r="882" spans="2:3" ht="15.75" customHeight="1">
      <c r="B882" s="55"/>
      <c r="C882" s="55"/>
    </row>
    <row r="883" spans="2:3" ht="15.75" customHeight="1">
      <c r="B883" s="55"/>
      <c r="C883" s="55"/>
    </row>
    <row r="884" spans="2:3" ht="15.75" customHeight="1">
      <c r="B884" s="55"/>
      <c r="C884" s="55"/>
    </row>
    <row r="885" spans="2:3" ht="15.75" customHeight="1">
      <c r="B885" s="55"/>
      <c r="C885" s="55"/>
    </row>
    <row r="886" spans="2:3" ht="15.75" customHeight="1">
      <c r="B886" s="55"/>
      <c r="C886" s="55"/>
    </row>
    <row r="887" spans="2:3" ht="15.75" customHeight="1">
      <c r="B887" s="55"/>
      <c r="C887" s="55"/>
    </row>
    <row r="888" spans="2:3" ht="15.75" customHeight="1">
      <c r="B888" s="55"/>
      <c r="C888" s="55"/>
    </row>
    <row r="889" spans="2:3" ht="15.75" customHeight="1">
      <c r="B889" s="55"/>
      <c r="C889" s="55"/>
    </row>
    <row r="890" spans="2:3" ht="15.75" customHeight="1">
      <c r="B890" s="55"/>
      <c r="C890" s="55"/>
    </row>
    <row r="891" spans="2:3" ht="15.75" customHeight="1">
      <c r="B891" s="55"/>
      <c r="C891" s="55"/>
    </row>
    <row r="892" spans="2:3" ht="15.75" customHeight="1">
      <c r="B892" s="55"/>
      <c r="C892" s="55"/>
    </row>
    <row r="893" spans="2:3" ht="15.75" customHeight="1">
      <c r="B893" s="55"/>
      <c r="C893" s="55"/>
    </row>
    <row r="894" spans="2:3" ht="15.75" customHeight="1">
      <c r="B894" s="55"/>
      <c r="C894" s="55"/>
    </row>
    <row r="895" spans="2:3" ht="15.75" customHeight="1">
      <c r="B895" s="55"/>
      <c r="C895" s="55"/>
    </row>
    <row r="896" spans="2:3" ht="15.75" customHeight="1">
      <c r="B896" s="55"/>
      <c r="C896" s="55"/>
    </row>
    <row r="897" spans="2:3" ht="15.75" customHeight="1">
      <c r="B897" s="55"/>
      <c r="C897" s="55"/>
    </row>
    <row r="898" spans="2:3" ht="15.75" customHeight="1">
      <c r="B898" s="55"/>
      <c r="C898" s="55"/>
    </row>
    <row r="899" spans="2:3" ht="15.75" customHeight="1">
      <c r="B899" s="55"/>
      <c r="C899" s="55"/>
    </row>
    <row r="900" spans="2:3" ht="15.75" customHeight="1">
      <c r="B900" s="55"/>
      <c r="C900" s="55"/>
    </row>
    <row r="901" spans="2:3" ht="15.75" customHeight="1">
      <c r="B901" s="55"/>
      <c r="C901" s="55"/>
    </row>
    <row r="902" spans="2:3" ht="15.75" customHeight="1">
      <c r="B902" s="55"/>
      <c r="C902" s="55"/>
    </row>
    <row r="903" spans="2:3" ht="15.75" customHeight="1">
      <c r="B903" s="55"/>
      <c r="C903" s="55"/>
    </row>
    <row r="904" spans="2:3" ht="15.75" customHeight="1">
      <c r="B904" s="55"/>
      <c r="C904" s="55"/>
    </row>
    <row r="905" spans="2:3" ht="15.75" customHeight="1">
      <c r="B905" s="55"/>
      <c r="C905" s="55"/>
    </row>
    <row r="906" spans="2:3" ht="15.75" customHeight="1">
      <c r="B906" s="55"/>
      <c r="C906" s="55"/>
    </row>
    <row r="907" spans="2:3" ht="15.75" customHeight="1">
      <c r="B907" s="55"/>
      <c r="C907" s="55"/>
    </row>
    <row r="908" spans="2:3" ht="15.75" customHeight="1">
      <c r="B908" s="55"/>
      <c r="C908" s="55"/>
    </row>
    <row r="909" spans="2:3" ht="15.75" customHeight="1">
      <c r="B909" s="55"/>
      <c r="C909" s="55"/>
    </row>
    <row r="910" spans="2:3" ht="15.75" customHeight="1">
      <c r="B910" s="55"/>
      <c r="C910" s="55"/>
    </row>
    <row r="911" spans="2:3" ht="15.75" customHeight="1">
      <c r="B911" s="55"/>
      <c r="C911" s="55"/>
    </row>
    <row r="912" spans="2:3" ht="15.75" customHeight="1">
      <c r="B912" s="55"/>
      <c r="C912" s="55"/>
    </row>
    <row r="913" spans="2:3" ht="15.75" customHeight="1">
      <c r="B913" s="55"/>
      <c r="C913" s="55"/>
    </row>
    <row r="914" spans="2:3" ht="15.75" customHeight="1">
      <c r="B914" s="55"/>
      <c r="C914" s="55"/>
    </row>
    <row r="915" spans="2:3" ht="15.75" customHeight="1">
      <c r="B915" s="55"/>
      <c r="C915" s="55"/>
    </row>
    <row r="916" spans="2:3" ht="15.75" customHeight="1">
      <c r="B916" s="55"/>
      <c r="C916" s="55"/>
    </row>
    <row r="917" spans="2:3" ht="15.75" customHeight="1">
      <c r="B917" s="55"/>
      <c r="C917" s="55"/>
    </row>
    <row r="918" spans="2:3" ht="15.75" customHeight="1">
      <c r="B918" s="55"/>
      <c r="C918" s="55"/>
    </row>
    <row r="919" spans="2:3" ht="15.75" customHeight="1">
      <c r="B919" s="55"/>
      <c r="C919" s="55"/>
    </row>
    <row r="920" spans="2:3" ht="15.75" customHeight="1">
      <c r="B920" s="55"/>
      <c r="C920" s="55"/>
    </row>
    <row r="921" spans="2:3" ht="15.75" customHeight="1">
      <c r="B921" s="55"/>
      <c r="C921" s="55"/>
    </row>
    <row r="922" spans="2:3" ht="15.75" customHeight="1">
      <c r="B922" s="55"/>
      <c r="C922" s="55"/>
    </row>
    <row r="923" spans="2:3" ht="15.75" customHeight="1">
      <c r="B923" s="55"/>
      <c r="C923" s="55"/>
    </row>
    <row r="924" spans="2:3" ht="15.75" customHeight="1">
      <c r="B924" s="55"/>
      <c r="C924" s="55"/>
    </row>
    <row r="925" spans="2:3" ht="15.75" customHeight="1">
      <c r="B925" s="55"/>
      <c r="C925" s="55"/>
    </row>
    <row r="926" spans="2:3" ht="15.75" customHeight="1">
      <c r="B926" s="55"/>
      <c r="C926" s="55"/>
    </row>
    <row r="927" spans="2:3" ht="15.75" customHeight="1">
      <c r="B927" s="55"/>
      <c r="C927" s="55"/>
    </row>
    <row r="928" spans="2:3" ht="15.75" customHeight="1">
      <c r="B928" s="55"/>
      <c r="C928" s="55"/>
    </row>
    <row r="929" spans="2:3" ht="15.75" customHeight="1">
      <c r="B929" s="55"/>
      <c r="C929" s="55"/>
    </row>
    <row r="930" spans="2:3" ht="15.75" customHeight="1">
      <c r="B930" s="55"/>
      <c r="C930" s="55"/>
    </row>
    <row r="931" spans="2:3" ht="15.75" customHeight="1">
      <c r="B931" s="55"/>
      <c r="C931" s="55"/>
    </row>
    <row r="932" spans="2:3" ht="15.75" customHeight="1">
      <c r="B932" s="55"/>
      <c r="C932" s="55"/>
    </row>
    <row r="933" spans="2:3" ht="15.75" customHeight="1">
      <c r="B933" s="55"/>
      <c r="C933" s="55"/>
    </row>
    <row r="934" spans="2:3" ht="15.75" customHeight="1">
      <c r="B934" s="55"/>
      <c r="C934" s="55"/>
    </row>
    <row r="935" spans="2:3" ht="15.75" customHeight="1">
      <c r="B935" s="55"/>
      <c r="C935" s="55"/>
    </row>
    <row r="936" spans="2:3" ht="15.75" customHeight="1">
      <c r="B936" s="55"/>
      <c r="C936" s="55"/>
    </row>
    <row r="937" spans="2:3" ht="15.75" customHeight="1">
      <c r="B937" s="55"/>
      <c r="C937" s="55"/>
    </row>
    <row r="938" spans="2:3" ht="15.75" customHeight="1">
      <c r="B938" s="55"/>
      <c r="C938" s="55"/>
    </row>
    <row r="939" spans="2:3" ht="15.75" customHeight="1">
      <c r="B939" s="55"/>
      <c r="C939" s="55"/>
    </row>
    <row r="940" spans="2:3" ht="15.75" customHeight="1">
      <c r="B940" s="55"/>
      <c r="C940" s="55"/>
    </row>
    <row r="941" spans="2:3" ht="15.75" customHeight="1">
      <c r="B941" s="55"/>
      <c r="C941" s="55"/>
    </row>
    <row r="942" spans="2:3" ht="15.75" customHeight="1">
      <c r="B942" s="55"/>
      <c r="C942" s="55"/>
    </row>
    <row r="943" spans="2:3" ht="15.75" customHeight="1">
      <c r="B943" s="55"/>
      <c r="C943" s="55"/>
    </row>
    <row r="944" spans="2:3" ht="15.75" customHeight="1">
      <c r="B944" s="55"/>
      <c r="C944" s="55"/>
    </row>
    <row r="945" spans="2:3" ht="15.75" customHeight="1">
      <c r="B945" s="55"/>
      <c r="C945" s="55"/>
    </row>
    <row r="946" spans="2:3" ht="15.75" customHeight="1">
      <c r="B946" s="55"/>
      <c r="C946" s="55"/>
    </row>
    <row r="947" spans="2:3" ht="15.75" customHeight="1">
      <c r="B947" s="55"/>
      <c r="C947" s="55"/>
    </row>
    <row r="948" spans="2:3" ht="15.75" customHeight="1">
      <c r="B948" s="55"/>
      <c r="C948" s="55"/>
    </row>
    <row r="949" spans="2:3" ht="15.75" customHeight="1">
      <c r="B949" s="55"/>
      <c r="C949" s="55"/>
    </row>
    <row r="950" spans="2:3" ht="15.75" customHeight="1">
      <c r="B950" s="55"/>
      <c r="C950" s="55"/>
    </row>
    <row r="951" spans="2:3" ht="15.75" customHeight="1">
      <c r="B951" s="55"/>
      <c r="C951" s="55"/>
    </row>
    <row r="952" spans="2:3" ht="15.75" customHeight="1">
      <c r="B952" s="55"/>
      <c r="C952" s="55"/>
    </row>
    <row r="953" spans="2:3" ht="15.75" customHeight="1">
      <c r="B953" s="55"/>
      <c r="C953" s="55"/>
    </row>
    <row r="954" spans="2:3" ht="15.75" customHeight="1">
      <c r="B954" s="55"/>
      <c r="C954" s="55"/>
    </row>
    <row r="955" spans="2:3" ht="15.75" customHeight="1">
      <c r="B955" s="55"/>
      <c r="C955" s="55"/>
    </row>
    <row r="956" spans="2:3" ht="15.75" customHeight="1">
      <c r="B956" s="55"/>
      <c r="C956" s="55"/>
    </row>
    <row r="957" spans="2:3" ht="15.75" customHeight="1">
      <c r="B957" s="55"/>
      <c r="C957" s="55"/>
    </row>
    <row r="958" spans="2:3" ht="15.75" customHeight="1">
      <c r="B958" s="55"/>
      <c r="C958" s="55"/>
    </row>
    <row r="959" spans="2:3" ht="15.75" customHeight="1">
      <c r="B959" s="55"/>
      <c r="C959" s="55"/>
    </row>
    <row r="960" spans="2:3" ht="15.75" customHeight="1">
      <c r="B960" s="55"/>
      <c r="C960" s="55"/>
    </row>
    <row r="961" spans="2:3" ht="15.75" customHeight="1">
      <c r="B961" s="55"/>
      <c r="C961" s="55"/>
    </row>
    <row r="962" spans="2:3" ht="15.75" customHeight="1">
      <c r="B962" s="55"/>
      <c r="C962" s="55"/>
    </row>
    <row r="963" spans="2:3" ht="15.75" customHeight="1">
      <c r="B963" s="55"/>
      <c r="C963" s="55"/>
    </row>
    <row r="964" spans="2:3" ht="15.75" customHeight="1">
      <c r="B964" s="55"/>
      <c r="C964" s="55"/>
    </row>
    <row r="965" spans="2:3" ht="15.75" customHeight="1">
      <c r="B965" s="55"/>
      <c r="C965" s="55"/>
    </row>
    <row r="966" spans="2:3" ht="15.75" customHeight="1">
      <c r="B966" s="55"/>
      <c r="C966" s="55"/>
    </row>
    <row r="967" spans="2:3" ht="15.75" customHeight="1">
      <c r="B967" s="55"/>
      <c r="C967" s="55"/>
    </row>
    <row r="968" spans="2:3" ht="15.75" customHeight="1">
      <c r="B968" s="55"/>
      <c r="C968" s="55"/>
    </row>
    <row r="969" spans="2:3" ht="15.75" customHeight="1">
      <c r="B969" s="55"/>
      <c r="C969" s="55"/>
    </row>
    <row r="970" spans="2:3" ht="15.75" customHeight="1">
      <c r="B970" s="55"/>
      <c r="C970" s="55"/>
    </row>
    <row r="971" spans="2:3" ht="15.75" customHeight="1">
      <c r="B971" s="55"/>
      <c r="C971" s="55"/>
    </row>
    <row r="972" spans="2:3" ht="15.75" customHeight="1">
      <c r="B972" s="55"/>
      <c r="C972" s="55"/>
    </row>
    <row r="973" spans="2:3" ht="15.75" customHeight="1">
      <c r="B973" s="55"/>
      <c r="C973" s="55"/>
    </row>
    <row r="974" spans="2:3" ht="15.75" customHeight="1">
      <c r="B974" s="55"/>
      <c r="C974" s="55"/>
    </row>
    <row r="975" spans="2:3" ht="15.75" customHeight="1">
      <c r="B975" s="55"/>
      <c r="C975" s="55"/>
    </row>
    <row r="976" spans="2:3" ht="15.75" customHeight="1">
      <c r="B976" s="55"/>
      <c r="C976" s="55"/>
    </row>
    <row r="977" spans="2:3" ht="15.75" customHeight="1">
      <c r="B977" s="55"/>
      <c r="C977" s="55"/>
    </row>
    <row r="978" spans="2:3" ht="15.75" customHeight="1">
      <c r="B978" s="55"/>
      <c r="C978" s="55"/>
    </row>
    <row r="979" spans="2:3" ht="15.75" customHeight="1">
      <c r="B979" s="55"/>
      <c r="C979" s="55"/>
    </row>
    <row r="980" spans="2:3" ht="15.75" customHeight="1">
      <c r="B980" s="55"/>
      <c r="C980" s="55"/>
    </row>
    <row r="981" spans="2:3" ht="15.75" customHeight="1">
      <c r="B981" s="55"/>
      <c r="C981" s="55"/>
    </row>
    <row r="982" spans="2:3" ht="15.75" customHeight="1">
      <c r="B982" s="55"/>
      <c r="C982" s="55"/>
    </row>
    <row r="983" spans="2:3" ht="15.75" customHeight="1">
      <c r="B983" s="55"/>
      <c r="C983" s="55"/>
    </row>
    <row r="984" spans="2:3" ht="15.75" customHeight="1">
      <c r="B984" s="55"/>
      <c r="C984" s="55"/>
    </row>
    <row r="985" spans="2:3" ht="15.75" customHeight="1">
      <c r="B985" s="55"/>
      <c r="C985" s="55"/>
    </row>
    <row r="986" spans="2:3" ht="15.75" customHeight="1">
      <c r="B986" s="55"/>
      <c r="C986" s="55"/>
    </row>
    <row r="987" spans="2:3" ht="15.75" customHeight="1">
      <c r="B987" s="55"/>
      <c r="C987" s="55"/>
    </row>
    <row r="988" spans="2:3" ht="15.75" customHeight="1">
      <c r="B988" s="55"/>
      <c r="C988" s="55"/>
    </row>
    <row r="989" spans="2:3" ht="15.75" customHeight="1">
      <c r="B989" s="55"/>
      <c r="C989" s="55"/>
    </row>
    <row r="990" spans="2:3" ht="15.75" customHeight="1">
      <c r="B990" s="55"/>
      <c r="C990" s="55"/>
    </row>
    <row r="991" spans="2:3" ht="15.75" customHeight="1">
      <c r="B991" s="55"/>
      <c r="C991" s="55"/>
    </row>
    <row r="992" spans="2:3" ht="15.75" customHeight="1">
      <c r="B992" s="55"/>
      <c r="C992" s="55"/>
    </row>
    <row r="993" spans="2:3" ht="15.75" customHeight="1">
      <c r="B993" s="55"/>
      <c r="C993" s="55"/>
    </row>
    <row r="994" spans="2:3" ht="15.75" customHeight="1">
      <c r="B994" s="55"/>
      <c r="C994" s="55"/>
    </row>
    <row r="995" spans="2:3" ht="15.75" customHeight="1">
      <c r="B995" s="55"/>
      <c r="C995" s="55"/>
    </row>
    <row r="996" spans="2:3" ht="15.75" customHeight="1">
      <c r="B996" s="55"/>
      <c r="C996" s="55"/>
    </row>
    <row r="997" spans="2:3" ht="15.75" customHeight="1">
      <c r="B997" s="55"/>
      <c r="C997" s="55"/>
    </row>
    <row r="998" spans="2:3" ht="15.75" customHeight="1">
      <c r="B998" s="55"/>
      <c r="C998" s="55"/>
    </row>
    <row r="999" spans="2:3" ht="15.75" customHeight="1">
      <c r="B999" s="55"/>
      <c r="C999" s="55"/>
    </row>
  </sheetData>
  <mergeCells count="12">
    <mergeCell ref="V2:W2"/>
    <mergeCell ref="A8:C8"/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opLeftCell="A31" workbookViewId="0">
      <selection activeCell="X7" sqref="X7"/>
    </sheetView>
  </sheetViews>
  <sheetFormatPr defaultRowHeight="73.5" customHeight="1"/>
  <cols>
    <col min="1" max="1" width="55.140625" style="263" bestFit="1" customWidth="1"/>
    <col min="2" max="2" width="6.42578125" style="6" bestFit="1" customWidth="1"/>
    <col min="3" max="3" width="6" style="6" bestFit="1" customWidth="1"/>
    <col min="4" max="5" width="7" style="6" bestFit="1" customWidth="1"/>
    <col min="6" max="6" width="6.42578125" style="6" bestFit="1" customWidth="1"/>
    <col min="7" max="7" width="6" style="6" bestFit="1" customWidth="1"/>
    <col min="8" max="9" width="7" style="6" bestFit="1" customWidth="1"/>
    <col min="10" max="10" width="6.42578125" style="6" bestFit="1" customWidth="1"/>
    <col min="11" max="11" width="5.85546875" style="6" bestFit="1" customWidth="1"/>
    <col min="12" max="12" width="6.42578125" style="6" bestFit="1" customWidth="1"/>
    <col min="13" max="13" width="5.85546875" style="6" bestFit="1" customWidth="1"/>
    <col min="14" max="14" width="6.42578125" style="6" bestFit="1" customWidth="1"/>
    <col min="15" max="15" width="5.85546875" style="6" bestFit="1" customWidth="1"/>
    <col min="16" max="16" width="6.42578125" style="6" bestFit="1" customWidth="1"/>
    <col min="17" max="17" width="6.5703125" style="6" customWidth="1"/>
    <col min="18" max="18" width="6.42578125" style="6" bestFit="1" customWidth="1"/>
    <col min="19" max="19" width="8" style="6" customWidth="1"/>
    <col min="20" max="20" width="6.42578125" style="6" bestFit="1" customWidth="1"/>
    <col min="21" max="21" width="7.7109375" style="6" customWidth="1"/>
    <col min="22" max="22" width="7" style="28" bestFit="1" customWidth="1"/>
  </cols>
  <sheetData>
    <row r="1" spans="1:22" ht="73.5" customHeight="1">
      <c r="A1" s="313" t="s">
        <v>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</row>
    <row r="2" spans="1:22" ht="73.5" customHeight="1">
      <c r="A2" s="260" t="s">
        <v>919</v>
      </c>
      <c r="B2" s="311" t="s">
        <v>5</v>
      </c>
      <c r="C2" s="314"/>
      <c r="D2" s="315" t="s">
        <v>2</v>
      </c>
      <c r="E2" s="314"/>
      <c r="F2" s="311" t="s">
        <v>10</v>
      </c>
      <c r="G2" s="314"/>
      <c r="H2" s="316" t="s">
        <v>11</v>
      </c>
      <c r="I2" s="314"/>
      <c r="J2" s="316" t="s">
        <v>9</v>
      </c>
      <c r="K2" s="317"/>
      <c r="L2" s="316" t="s">
        <v>14</v>
      </c>
      <c r="M2" s="317"/>
      <c r="N2" s="316" t="s">
        <v>15</v>
      </c>
      <c r="O2" s="317"/>
      <c r="P2" s="311" t="s">
        <v>3</v>
      </c>
      <c r="Q2" s="314"/>
      <c r="R2" s="311" t="s">
        <v>12</v>
      </c>
      <c r="S2" s="314"/>
      <c r="T2" s="311" t="s">
        <v>13</v>
      </c>
      <c r="U2" s="312"/>
    </row>
    <row r="3" spans="1:22" ht="73.5" customHeight="1">
      <c r="A3" s="260"/>
      <c r="B3" s="22" t="s">
        <v>6</v>
      </c>
      <c r="C3" s="22" t="s">
        <v>7</v>
      </c>
      <c r="D3" s="22" t="s">
        <v>6</v>
      </c>
      <c r="E3" s="22" t="s">
        <v>7</v>
      </c>
      <c r="F3" s="22" t="s">
        <v>6</v>
      </c>
      <c r="G3" s="22" t="s">
        <v>7</v>
      </c>
      <c r="H3" s="22" t="s">
        <v>6</v>
      </c>
      <c r="I3" s="22" t="s">
        <v>7</v>
      </c>
      <c r="J3" s="22" t="s">
        <v>6</v>
      </c>
      <c r="K3" s="22" t="s">
        <v>7</v>
      </c>
      <c r="L3" s="22" t="s">
        <v>6</v>
      </c>
      <c r="M3" s="22" t="s">
        <v>7</v>
      </c>
      <c r="N3" s="22" t="s">
        <v>6</v>
      </c>
      <c r="O3" s="22" t="s">
        <v>7</v>
      </c>
      <c r="P3" s="22" t="s">
        <v>6</v>
      </c>
      <c r="Q3" s="22" t="s">
        <v>7</v>
      </c>
      <c r="R3" s="22" t="s">
        <v>6</v>
      </c>
      <c r="S3" s="22" t="s">
        <v>7</v>
      </c>
      <c r="T3" s="22" t="s">
        <v>6</v>
      </c>
      <c r="U3" s="22" t="s">
        <v>7</v>
      </c>
    </row>
    <row r="4" spans="1:22" ht="73.5" customHeight="1">
      <c r="A4" s="261" t="s">
        <v>71</v>
      </c>
      <c r="B4" s="5">
        <f>ΑΕΑΑ!D9</f>
        <v>14</v>
      </c>
      <c r="C4" s="5">
        <f>ΑΕΑΑ!E9</f>
        <v>0</v>
      </c>
      <c r="D4" s="5">
        <f>ΑΕΑΑ!F9</f>
        <v>263</v>
      </c>
      <c r="E4" s="5">
        <f>ΑΕΑΑ!G9</f>
        <v>26</v>
      </c>
      <c r="F4" s="5">
        <f>ΑΕΑΑ!H9</f>
        <v>208</v>
      </c>
      <c r="G4" s="5">
        <f>ΑΕΑΑ!I9</f>
        <v>28</v>
      </c>
      <c r="H4" s="5">
        <f>ΑΕΑΑ!J9</f>
        <v>1178</v>
      </c>
      <c r="I4" s="5">
        <f>ΑΕΑΑ!K9</f>
        <v>129</v>
      </c>
      <c r="J4" s="5">
        <f>ΑΕΑΑ!L9</f>
        <v>13</v>
      </c>
      <c r="K4" s="5">
        <f>ΑΕΑΑ!M9</f>
        <v>1</v>
      </c>
      <c r="L4" s="5">
        <f>ΑΕΑΑ!N9</f>
        <v>4</v>
      </c>
      <c r="M4" s="5">
        <f>ΑΕΑΑ!O9</f>
        <v>1</v>
      </c>
      <c r="N4" s="5">
        <f>ΑΕΑΑ!P9</f>
        <v>1</v>
      </c>
      <c r="O4" s="5">
        <f>ΑΕΑΑ!Q9</f>
        <v>0</v>
      </c>
      <c r="P4" s="5">
        <f>ΑΕΑΑ!R9</f>
        <v>19</v>
      </c>
      <c r="Q4" s="5">
        <f>ΑΕΑΑ!S9</f>
        <v>3</v>
      </c>
      <c r="R4" s="5">
        <f>ΑΕΑΑ!T9</f>
        <v>14</v>
      </c>
      <c r="S4" s="5">
        <f>ΑΕΑΑ!U9</f>
        <v>8</v>
      </c>
      <c r="T4" s="5">
        <f>ΑΕΑΑ!V9</f>
        <v>12</v>
      </c>
      <c r="U4" s="5">
        <f>ΑΕΑΑ!W9</f>
        <v>1</v>
      </c>
    </row>
    <row r="5" spans="1:22" ht="73.5" customHeight="1">
      <c r="A5" s="261" t="s">
        <v>80</v>
      </c>
      <c r="B5" s="232">
        <f>ΑΣΚΤ!D6</f>
        <v>57</v>
      </c>
      <c r="C5" s="232">
        <f>ΑΣΚΤ!E6</f>
        <v>214</v>
      </c>
      <c r="D5" s="232">
        <f>ΑΣΚΤ!F6</f>
        <v>323</v>
      </c>
      <c r="E5" s="232">
        <f>ΑΣΚΤ!G6</f>
        <v>791</v>
      </c>
      <c r="F5" s="232">
        <f>ΑΣΚΤ!H6</f>
        <v>114</v>
      </c>
      <c r="G5" s="232">
        <f>ΑΣΚΤ!I6</f>
        <v>258</v>
      </c>
      <c r="H5" s="232">
        <f>ΑΣΚΤ!J6</f>
        <v>135</v>
      </c>
      <c r="I5" s="232">
        <f>ΑΣΚΤ!K6</f>
        <v>253</v>
      </c>
      <c r="J5" s="232">
        <f>ΑΣΚΤ!L6</f>
        <v>0</v>
      </c>
      <c r="K5" s="232">
        <f>ΑΣΚΤ!M6</f>
        <v>15</v>
      </c>
      <c r="L5" s="232">
        <f>ΑΣΚΤ!N6</f>
        <v>5</v>
      </c>
      <c r="M5" s="232">
        <f>ΑΣΚΤ!O6</f>
        <v>10</v>
      </c>
      <c r="N5" s="232">
        <f>ΑΣΚΤ!P6</f>
        <v>0</v>
      </c>
      <c r="O5" s="232">
        <f>ΑΣΚΤ!Q6</f>
        <v>0</v>
      </c>
      <c r="P5" s="232">
        <f>ΑΣΚΤ!R6</f>
        <v>1</v>
      </c>
      <c r="Q5" s="232">
        <f>ΑΣΚΤ!S6</f>
        <v>1</v>
      </c>
      <c r="R5" s="232">
        <f>ΑΣΚΤ!T6</f>
        <v>28</v>
      </c>
      <c r="S5" s="232">
        <f>ΑΣΚΤ!U6</f>
        <v>53</v>
      </c>
      <c r="T5" s="232">
        <f>ΑΣΚΤ!V6</f>
        <v>7</v>
      </c>
      <c r="U5" s="232">
        <f>ΑΣΚΤ!W6</f>
        <v>19</v>
      </c>
    </row>
    <row r="6" spans="1:22" ht="73.5" customHeight="1">
      <c r="A6" s="261" t="s">
        <v>661</v>
      </c>
      <c r="B6" s="5">
        <f>ΑΣΠΑΙΤΕ!D8</f>
        <v>103</v>
      </c>
      <c r="C6" s="5">
        <f>ΑΣΠΑΙΤΕ!E8</f>
        <v>39</v>
      </c>
      <c r="D6" s="5">
        <f>ΑΣΠΑΙΤΕ!F8</f>
        <v>1034</v>
      </c>
      <c r="E6" s="5">
        <f>ΑΣΠΑΙΤΕ!G8</f>
        <v>385</v>
      </c>
      <c r="F6" s="5">
        <f>ΑΣΠΑΙΤΕ!H8</f>
        <v>763</v>
      </c>
      <c r="G6" s="5">
        <f>ΑΣΠΑΙΤΕ!I8</f>
        <v>256</v>
      </c>
      <c r="H6" s="5">
        <f>ΑΣΠΑΙΤΕ!J8</f>
        <v>1107</v>
      </c>
      <c r="I6" s="5">
        <f>ΑΣΠΑΙΤΕ!K8</f>
        <v>342</v>
      </c>
      <c r="J6" s="5">
        <f>ΑΣΠΑΙΤΕ!L8</f>
        <v>15</v>
      </c>
      <c r="K6" s="5">
        <f>ΑΣΠΑΙΤΕ!M8</f>
        <v>10</v>
      </c>
      <c r="L6" s="5">
        <f>ΑΣΠΑΙΤΕ!N8</f>
        <v>16</v>
      </c>
      <c r="M6" s="5">
        <f>ΑΣΠΑΙΤΕ!O8</f>
        <v>8</v>
      </c>
      <c r="N6" s="5">
        <f>ΑΣΠΑΙΤΕ!P8</f>
        <v>0</v>
      </c>
      <c r="O6" s="5">
        <f>ΑΣΠΑΙΤΕ!Q8</f>
        <v>0</v>
      </c>
      <c r="P6" s="5">
        <f>ΑΣΠΑΙΤΕ!R8</f>
        <v>2</v>
      </c>
      <c r="Q6" s="5">
        <f>ΑΣΠΑΙΤΕ!S8</f>
        <v>1</v>
      </c>
      <c r="R6" s="5">
        <f>ΑΣΠΑΙΤΕ!T8</f>
        <v>93</v>
      </c>
      <c r="S6" s="5">
        <f>ΑΣΠΑΙΤΕ!U8</f>
        <v>37</v>
      </c>
      <c r="T6" s="5">
        <f>ΑΣΠΑΙΤΕ!V8</f>
        <v>95</v>
      </c>
      <c r="U6" s="5">
        <f>ΑΣΠΑΙΤΕ!W8</f>
        <v>11</v>
      </c>
    </row>
    <row r="7" spans="1:22" ht="73.5" customHeight="1">
      <c r="A7" s="261" t="s">
        <v>662</v>
      </c>
      <c r="B7" s="5">
        <f>ΑΠΘ!D47</f>
        <v>2686</v>
      </c>
      <c r="C7" s="5">
        <f>ΑΠΘ!E47</f>
        <v>4140</v>
      </c>
      <c r="D7" s="5">
        <f>ΑΠΘ!F47</f>
        <v>12457</v>
      </c>
      <c r="E7" s="5">
        <f>ΑΠΘ!G47</f>
        <v>18585</v>
      </c>
      <c r="F7" s="5">
        <f>ΑΠΘ!H47</f>
        <v>3203</v>
      </c>
      <c r="G7" s="5">
        <f>ΑΠΘ!I47</f>
        <v>3244</v>
      </c>
      <c r="H7" s="5">
        <f>ΑΠΘ!J47</f>
        <v>17948</v>
      </c>
      <c r="I7" s="5">
        <f>ΑΠΘ!K47</f>
        <v>16175</v>
      </c>
      <c r="J7" s="5">
        <f>ΑΠΘ!L47</f>
        <v>491</v>
      </c>
      <c r="K7" s="5">
        <f>ΑΠΘ!M47</f>
        <v>593</v>
      </c>
      <c r="L7" s="5">
        <f>ΑΠΘ!N47</f>
        <v>191</v>
      </c>
      <c r="M7" s="5">
        <f>ΑΠΘ!O47</f>
        <v>226</v>
      </c>
      <c r="N7" s="5">
        <f>ΑΠΘ!P47</f>
        <v>19</v>
      </c>
      <c r="O7" s="5">
        <f>ΑΠΘ!Q47</f>
        <v>17</v>
      </c>
      <c r="P7" s="5">
        <f>ΑΠΘ!R47</f>
        <v>689</v>
      </c>
      <c r="Q7" s="5">
        <f>ΑΠΘ!S47</f>
        <v>1574</v>
      </c>
      <c r="R7" s="5">
        <f>ΑΠΘ!T47</f>
        <v>1198</v>
      </c>
      <c r="S7" s="5">
        <f>ΑΠΘ!U47</f>
        <v>2085</v>
      </c>
      <c r="T7" s="5">
        <f>ΑΠΘ!V47</f>
        <v>407</v>
      </c>
      <c r="U7" s="5">
        <f>ΑΠΘ!W47</f>
        <v>514</v>
      </c>
    </row>
    <row r="8" spans="1:22" ht="73.5" customHeight="1">
      <c r="A8" s="261" t="s">
        <v>801</v>
      </c>
      <c r="B8" s="233">
        <f>ΓΕΩΠΟΝΙΚΟ!D23</f>
        <v>403</v>
      </c>
      <c r="C8" s="233">
        <f>ΓΕΩΠΟΝΙΚΟ!E23</f>
        <v>518</v>
      </c>
      <c r="D8" s="233">
        <f>ΓΕΩΠΟΝΙΚΟ!F23</f>
        <v>2326</v>
      </c>
      <c r="E8" s="233">
        <f>ΓΕΩΠΟΝΙΚΟ!G23</f>
        <v>2819</v>
      </c>
      <c r="F8" s="233">
        <f>ΓΕΩΠΟΝΙΚΟ!H23</f>
        <v>947</v>
      </c>
      <c r="G8" s="233">
        <f>ΓΕΩΠΟΝΙΚΟ!I23</f>
        <v>789</v>
      </c>
      <c r="H8" s="233">
        <f>ΓΕΩΠΟΝΙΚΟ!J23</f>
        <v>3560</v>
      </c>
      <c r="I8" s="233">
        <f>ΓΕΩΠΟΝΙΚΟ!K23</f>
        <v>2368</v>
      </c>
      <c r="J8" s="233">
        <f>ΓΕΩΠΟΝΙΚΟ!L23</f>
        <v>50</v>
      </c>
      <c r="K8" s="233">
        <f>ΓΕΩΠΟΝΙΚΟ!M23</f>
        <v>89</v>
      </c>
      <c r="L8" s="233">
        <f>ΓΕΩΠΟΝΙΚΟ!N23</f>
        <v>23</v>
      </c>
      <c r="M8" s="233">
        <f>ΓΕΩΠΟΝΙΚΟ!O23</f>
        <v>15</v>
      </c>
      <c r="N8" s="233">
        <f>ΓΕΩΠΟΝΙΚΟ!P23</f>
        <v>1</v>
      </c>
      <c r="O8" s="233">
        <f>ΓΕΩΠΟΝΙΚΟ!Q23</f>
        <v>1</v>
      </c>
      <c r="P8" s="233">
        <f>ΓΕΩΠΟΝΙΚΟ!R23</f>
        <v>3</v>
      </c>
      <c r="Q8" s="233">
        <f>ΓΕΩΠΟΝΙΚΟ!S23</f>
        <v>12</v>
      </c>
      <c r="R8" s="233">
        <f>ΓΕΩΠΟΝΙΚΟ!T23</f>
        <v>197</v>
      </c>
      <c r="S8" s="233">
        <f>ΓΕΩΠΟΝΙΚΟ!U23</f>
        <v>292</v>
      </c>
      <c r="T8" s="233">
        <f>ΓΕΩΠΟΝΙΚΟ!V23</f>
        <v>193</v>
      </c>
      <c r="U8" s="233">
        <f>ΓΕΩΠΟΝΙΚΟ!W23</f>
        <v>172</v>
      </c>
      <c r="V8" s="234"/>
    </row>
    <row r="9" spans="1:22" ht="73.5" customHeight="1">
      <c r="A9" s="261" t="s">
        <v>663</v>
      </c>
      <c r="B9" s="5">
        <f>ΔΠΘ!D32</f>
        <v>1982</v>
      </c>
      <c r="C9" s="5">
        <f>ΔΠΘ!E32</f>
        <v>2228</v>
      </c>
      <c r="D9" s="5">
        <f>ΔΠΘ!F32</f>
        <v>7561</v>
      </c>
      <c r="E9" s="5">
        <f>ΔΠΘ!G32</f>
        <v>9149</v>
      </c>
      <c r="F9" s="5">
        <f>ΔΠΘ!H32</f>
        <v>3371</v>
      </c>
      <c r="G9" s="5">
        <f>ΔΠΘ!I32</f>
        <v>2311</v>
      </c>
      <c r="H9" s="5">
        <f>ΔΠΘ!J32</f>
        <v>9786</v>
      </c>
      <c r="I9" s="5">
        <f>ΔΠΘ!K32</f>
        <v>6510</v>
      </c>
      <c r="J9" s="5">
        <f>ΔΠΘ!L32</f>
        <v>812</v>
      </c>
      <c r="K9" s="5">
        <f>ΔΠΘ!M32</f>
        <v>860</v>
      </c>
      <c r="L9" s="5">
        <f>ΔΠΘ!N32</f>
        <v>79</v>
      </c>
      <c r="M9" s="5">
        <f>ΔΠΘ!O32</f>
        <v>56</v>
      </c>
      <c r="N9" s="5">
        <f>ΔΠΘ!P32</f>
        <v>13</v>
      </c>
      <c r="O9" s="5">
        <f>ΔΠΘ!Q32</f>
        <v>3</v>
      </c>
      <c r="P9" s="5">
        <f>ΔΠΘ!R32</f>
        <v>243</v>
      </c>
      <c r="Q9" s="5">
        <f>ΔΠΘ!S32</f>
        <v>544</v>
      </c>
      <c r="R9" s="5">
        <f>ΔΠΘ!T32</f>
        <v>1264</v>
      </c>
      <c r="S9" s="5">
        <f>ΔΠΘ!U32</f>
        <v>1440</v>
      </c>
      <c r="T9" s="5">
        <f>ΔΠΘ!V32</f>
        <v>491</v>
      </c>
      <c r="U9" s="5">
        <f>ΔΠΘ!W32</f>
        <v>287</v>
      </c>
    </row>
    <row r="10" spans="1:22" ht="73.5" customHeight="1">
      <c r="A10" s="261" t="s">
        <v>519</v>
      </c>
      <c r="B10" s="5">
        <f>' ΔΙΠΑΕ'!D35</f>
        <v>2097</v>
      </c>
      <c r="C10" s="5">
        <f>' ΔΙΠΑΕ'!E35</f>
        <v>2102</v>
      </c>
      <c r="D10" s="5">
        <f>' ΔΙΠΑΕ'!F35</f>
        <v>8728</v>
      </c>
      <c r="E10" s="5">
        <f>' ΔΙΠΑΕ'!G35</f>
        <v>8770</v>
      </c>
      <c r="F10" s="5">
        <f>' ΔΙΠΑΕ'!H35</f>
        <v>5290</v>
      </c>
      <c r="G10" s="5">
        <f>' ΔΙΠΑΕ'!I35</f>
        <v>3106</v>
      </c>
      <c r="H10" s="5">
        <f>' ΔΙΠΑΕ'!J35</f>
        <v>14900</v>
      </c>
      <c r="I10" s="5">
        <f>' ΔΙΠΑΕ'!K35</f>
        <v>8667</v>
      </c>
      <c r="J10" s="5">
        <f>' ΔΙΠΑΕ'!L35</f>
        <v>719</v>
      </c>
      <c r="K10" s="5">
        <f>' ΔΙΠΑΕ'!M35</f>
        <v>615</v>
      </c>
      <c r="L10" s="5">
        <f>' ΔΙΠΑΕ'!N35</f>
        <v>150</v>
      </c>
      <c r="M10" s="5">
        <f>' ΔΙΠΑΕ'!O35</f>
        <v>101</v>
      </c>
      <c r="N10" s="5">
        <f>' ΔΙΠΑΕ'!P35</f>
        <v>17</v>
      </c>
      <c r="O10" s="5">
        <f>' ΔΙΠΑΕ'!Q35</f>
        <v>9</v>
      </c>
      <c r="P10" s="5">
        <f>' ΔΙΠΑΕ'!R35</f>
        <v>77</v>
      </c>
      <c r="Q10" s="5">
        <f>' ΔΙΠΑΕ'!S35</f>
        <v>217</v>
      </c>
      <c r="R10" s="5">
        <f>' ΔΙΠΑΕ'!T35</f>
        <v>1116</v>
      </c>
      <c r="S10" s="5">
        <f>' ΔΙΠΑΕ'!U35</f>
        <v>1498</v>
      </c>
      <c r="T10" s="5">
        <f>' ΔΙΠΑΕ'!V35</f>
        <v>797</v>
      </c>
      <c r="U10" s="5">
        <f>' ΔΙΠΑΕ'!W35</f>
        <v>736</v>
      </c>
    </row>
    <row r="11" spans="1:22" ht="73.5" customHeight="1">
      <c r="A11" s="261" t="s">
        <v>665</v>
      </c>
      <c r="B11" s="5">
        <f>ΕΚΠΑ!D53</f>
        <v>2980</v>
      </c>
      <c r="C11" s="5">
        <f>ΕΚΠΑ!E53</f>
        <v>4934</v>
      </c>
      <c r="D11" s="5">
        <f>ΕΚΠΑ!F53</f>
        <v>12247</v>
      </c>
      <c r="E11" s="5">
        <f>ΕΚΠΑ!G53</f>
        <v>20863</v>
      </c>
      <c r="F11" s="5">
        <f>ΕΚΠΑ!H53</f>
        <v>3854</v>
      </c>
      <c r="G11" s="5">
        <f>ΕΚΠΑ!I53</f>
        <v>4490</v>
      </c>
      <c r="H11" s="5">
        <f>ΕΚΠΑ!J53</f>
        <v>30127</v>
      </c>
      <c r="I11" s="5">
        <f>ΕΚΠΑ!K53</f>
        <v>29346</v>
      </c>
      <c r="J11" s="5">
        <f>ΕΚΠΑ!L53</f>
        <v>516</v>
      </c>
      <c r="K11" s="5">
        <f>ΕΚΠΑ!M53</f>
        <v>761</v>
      </c>
      <c r="L11" s="5">
        <f>ΕΚΠΑ!N53</f>
        <v>108</v>
      </c>
      <c r="M11" s="5">
        <f>ΕΚΠΑ!O53</f>
        <v>121</v>
      </c>
      <c r="N11" s="5">
        <f>ΕΚΠΑ!P53</f>
        <v>134</v>
      </c>
      <c r="O11" s="5">
        <f>ΕΚΠΑ!Q53</f>
        <v>93</v>
      </c>
      <c r="P11" s="5">
        <f>ΕΚΠΑ!R53</f>
        <v>437</v>
      </c>
      <c r="Q11" s="5">
        <f>ΕΚΠΑ!S53</f>
        <v>1261</v>
      </c>
      <c r="R11" s="5">
        <f>ΕΚΠΑ!T53</f>
        <v>985</v>
      </c>
      <c r="S11" s="5">
        <f>ΕΚΠΑ!U53</f>
        <v>2074</v>
      </c>
      <c r="T11" s="5">
        <f>ΕΚΠΑ!V53</f>
        <v>991</v>
      </c>
      <c r="U11" s="5">
        <f>ΕΚΠΑ!W53</f>
        <v>938</v>
      </c>
    </row>
    <row r="12" spans="1:22" ht="73.5" customHeight="1">
      <c r="A12" s="261" t="s">
        <v>918</v>
      </c>
      <c r="B12" s="170">
        <f>ΕΜΠ!B13</f>
        <v>982</v>
      </c>
      <c r="C12" s="170">
        <f>ΕΜΠ!C13</f>
        <v>586</v>
      </c>
      <c r="D12" s="170">
        <f>ΕΜΠ!D13</f>
        <v>5429</v>
      </c>
      <c r="E12" s="170">
        <f>ΕΜΠ!E13</f>
        <v>3048</v>
      </c>
      <c r="F12" s="170">
        <f>ΕΜΠ!F13</f>
        <v>1837</v>
      </c>
      <c r="G12" s="170">
        <f>ΕΜΠ!G13</f>
        <v>736</v>
      </c>
      <c r="H12" s="170">
        <f>ΕΜΠ!H13</f>
        <v>8291</v>
      </c>
      <c r="I12" s="170">
        <f>ΕΜΠ!I13</f>
        <v>1792</v>
      </c>
      <c r="J12" s="170">
        <f>ΕΜΠ!J13</f>
        <v>16</v>
      </c>
      <c r="K12" s="170">
        <f>ΕΜΠ!K13</f>
        <v>18</v>
      </c>
      <c r="L12" s="170">
        <f>ΕΜΠ!L13</f>
        <v>44</v>
      </c>
      <c r="M12" s="170">
        <f>ΕΜΠ!M13</f>
        <v>19</v>
      </c>
      <c r="N12" s="170">
        <f>ΕΜΠ!N13</f>
        <v>8</v>
      </c>
      <c r="O12" s="170">
        <f>ΕΜΠ!O13</f>
        <v>1</v>
      </c>
      <c r="P12" s="170">
        <f>ΕΜΠ!P13</f>
        <v>83</v>
      </c>
      <c r="Q12" s="170">
        <f>ΕΜΠ!Q13</f>
        <v>44</v>
      </c>
      <c r="R12" s="170">
        <f>ΕΜΠ!R13</f>
        <v>565</v>
      </c>
      <c r="S12" s="170">
        <f>ΕΜΠ!S13</f>
        <v>345</v>
      </c>
      <c r="T12" s="170">
        <f>ΕΜΠ!T13</f>
        <v>192</v>
      </c>
      <c r="U12" s="170">
        <f>ΕΜΠ!U13</f>
        <v>99</v>
      </c>
    </row>
    <row r="13" spans="1:22" s="265" customFormat="1" ht="73.5" customHeight="1">
      <c r="A13" s="261" t="s">
        <v>664</v>
      </c>
      <c r="B13" s="269">
        <v>1316</v>
      </c>
      <c r="C13" s="269">
        <v>1362</v>
      </c>
      <c r="D13" s="269">
        <v>3739</v>
      </c>
      <c r="E13" s="269">
        <v>4156</v>
      </c>
      <c r="F13" s="269">
        <v>1048</v>
      </c>
      <c r="G13" s="269">
        <v>1446</v>
      </c>
      <c r="H13" s="269">
        <v>1261</v>
      </c>
      <c r="I13" s="269">
        <v>1292</v>
      </c>
      <c r="J13" s="269">
        <v>1317</v>
      </c>
      <c r="K13" s="269">
        <v>1153</v>
      </c>
      <c r="L13" s="269">
        <v>2802</v>
      </c>
      <c r="M13" s="269">
        <v>2738</v>
      </c>
      <c r="N13" s="269">
        <v>3970</v>
      </c>
      <c r="O13" s="269">
        <v>3963</v>
      </c>
      <c r="P13" s="269">
        <v>57</v>
      </c>
      <c r="Q13" s="269">
        <v>70</v>
      </c>
      <c r="R13" s="269">
        <v>401</v>
      </c>
      <c r="S13" s="269">
        <v>648</v>
      </c>
      <c r="T13" s="269">
        <v>312</v>
      </c>
      <c r="U13" s="269">
        <v>369</v>
      </c>
      <c r="V13" s="264"/>
    </row>
    <row r="14" spans="1:22" s="6" customFormat="1" ht="73.5" customHeight="1">
      <c r="A14" s="261" t="s">
        <v>293</v>
      </c>
      <c r="B14" s="5">
        <f>ΕΛΜΕΠΑ!D15</f>
        <v>756</v>
      </c>
      <c r="C14" s="5">
        <f>ΕΛΜΕΠΑ!E15</f>
        <v>801</v>
      </c>
      <c r="D14" s="5">
        <f>ΕΛΜΕΠΑ!F15</f>
        <v>3125</v>
      </c>
      <c r="E14" s="5">
        <f>ΕΛΜΕΠΑ!G15</f>
        <v>2735</v>
      </c>
      <c r="F14" s="5">
        <f>ΕΛΜΕΠΑ!H15</f>
        <v>1869</v>
      </c>
      <c r="G14" s="5">
        <f>ΕΛΜΕΠΑ!I15</f>
        <v>1293</v>
      </c>
      <c r="H14" s="5">
        <f>ΕΛΜΕΠΑ!J15</f>
        <v>7343</v>
      </c>
      <c r="I14" s="5">
        <f>ΕΛΜΕΠΑ!K15</f>
        <v>4298</v>
      </c>
      <c r="J14" s="5">
        <f>ΕΛΜΕΠΑ!L15</f>
        <v>222</v>
      </c>
      <c r="K14" s="5">
        <f>ΕΛΜΕΠΑ!M15</f>
        <v>232</v>
      </c>
      <c r="L14" s="5">
        <f>ΕΛΜΕΠΑ!N15</f>
        <v>76</v>
      </c>
      <c r="M14" s="5">
        <f>ΕΛΜΕΠΑ!O15</f>
        <v>18</v>
      </c>
      <c r="N14" s="5">
        <f>ΕΛΜΕΠΑ!P15</f>
        <v>3</v>
      </c>
      <c r="O14" s="5">
        <f>ΕΛΜΕΠΑ!Q15</f>
        <v>1</v>
      </c>
      <c r="P14" s="5">
        <f>ΕΛΜΕΠΑ!R15</f>
        <v>21</v>
      </c>
      <c r="Q14" s="5">
        <f>ΕΛΜΕΠΑ!S15</f>
        <v>62</v>
      </c>
      <c r="R14" s="5">
        <f>ΕΛΜΕΠΑ!T15</f>
        <v>136</v>
      </c>
      <c r="S14" s="5">
        <f>ΕΛΜΕΠΑ!U15</f>
        <v>290</v>
      </c>
      <c r="T14" s="5">
        <f>ΕΛΜΕΠΑ!V15</f>
        <v>347</v>
      </c>
      <c r="U14" s="5">
        <f>ΕΛΜΕΠΑ!W15</f>
        <v>331</v>
      </c>
    </row>
    <row r="15" spans="1:22" s="6" customFormat="1" ht="73.5" customHeight="1">
      <c r="A15" s="261" t="s">
        <v>241</v>
      </c>
      <c r="B15" s="5">
        <f>'ΙΟΝΙΟ ΠΑΝΜΙΟ'!D16</f>
        <v>458</v>
      </c>
      <c r="C15" s="5">
        <f>'ΙΟΝΙΟ ΠΑΝΜΙΟ'!E16</f>
        <v>527</v>
      </c>
      <c r="D15" s="5">
        <f>'ΙΟΝΙΟ ΠΑΝΜΙΟ'!F16</f>
        <v>2016</v>
      </c>
      <c r="E15" s="5">
        <f>'ΙΟΝΙΟ ΠΑΝΜΙΟ'!G16</f>
        <v>2479</v>
      </c>
      <c r="F15" s="5">
        <f>'ΙΟΝΙΟ ΠΑΝΜΙΟ'!H16</f>
        <v>1244</v>
      </c>
      <c r="G15" s="5">
        <f>'ΙΟΝΙΟ ΠΑΝΜΙΟ'!I16</f>
        <v>989</v>
      </c>
      <c r="H15" s="5">
        <f>'ΙΟΝΙΟ ΠΑΝΜΙΟ'!J16</f>
        <v>2100</v>
      </c>
      <c r="I15" s="5">
        <f>'ΙΟΝΙΟ ΠΑΝΜΙΟ'!K16</f>
        <v>2365</v>
      </c>
      <c r="J15" s="5">
        <f>'ΙΟΝΙΟ ΠΑΝΜΙΟ'!L16</f>
        <v>287</v>
      </c>
      <c r="K15" s="5">
        <f>'ΙΟΝΙΟ ΠΑΝΜΙΟ'!M16</f>
        <v>252</v>
      </c>
      <c r="L15" s="5">
        <f>'ΙΟΝΙΟ ΠΑΝΜΙΟ'!N16</f>
        <v>38</v>
      </c>
      <c r="M15" s="5">
        <f>'ΙΟΝΙΟ ΠΑΝΜΙΟ'!O16</f>
        <v>31</v>
      </c>
      <c r="N15" s="5">
        <f>'ΙΟΝΙΟ ΠΑΝΜΙΟ'!P16</f>
        <v>1</v>
      </c>
      <c r="O15" s="5">
        <f>'ΙΟΝΙΟ ΠΑΝΜΙΟ'!Q16</f>
        <v>1</v>
      </c>
      <c r="P15" s="5">
        <f>'ΙΟΝΙΟ ΠΑΝΜΙΟ'!R16</f>
        <v>14</v>
      </c>
      <c r="Q15" s="5">
        <f>'ΙΟΝΙΟ ΠΑΝΜΙΟ'!S16</f>
        <v>32</v>
      </c>
      <c r="R15" s="5">
        <f>'ΙΟΝΙΟ ΠΑΝΜΙΟ'!T16</f>
        <v>111</v>
      </c>
      <c r="S15" s="5">
        <f>'ΙΟΝΙΟ ΠΑΝΜΙΟ'!U16</f>
        <v>238</v>
      </c>
      <c r="T15" s="5">
        <f>'ΙΟΝΙΟ ΠΑΝΜΙΟ'!V16</f>
        <v>121</v>
      </c>
      <c r="U15" s="5">
        <f>'ΙΟΝΙΟ ΠΑΝΜΙΟ'!W16</f>
        <v>134</v>
      </c>
    </row>
    <row r="16" spans="1:22" s="6" customFormat="1" ht="73.5" customHeight="1">
      <c r="A16" s="261" t="s">
        <v>255</v>
      </c>
      <c r="B16" s="5">
        <f>ΟΠΑ!D12</f>
        <v>950</v>
      </c>
      <c r="C16" s="5">
        <f>ΟΠΑ!E12</f>
        <v>785</v>
      </c>
      <c r="D16" s="5">
        <f>ΟΠΑ!F12</f>
        <v>3897</v>
      </c>
      <c r="E16" s="5">
        <f>ΟΠΑ!G12</f>
        <v>3133</v>
      </c>
      <c r="F16" s="5">
        <f>ΟΠΑ!H12</f>
        <v>1011</v>
      </c>
      <c r="G16" s="5">
        <f>ΟΠΑ!I12</f>
        <v>611</v>
      </c>
      <c r="H16" s="5">
        <f>ΟΠΑ!J12</f>
        <v>8405</v>
      </c>
      <c r="I16" s="5">
        <f>ΟΠΑ!K12</f>
        <v>4034</v>
      </c>
      <c r="J16" s="5">
        <f>ΟΠΑ!L12</f>
        <v>103</v>
      </c>
      <c r="K16" s="5">
        <f>ΟΠΑ!M12</f>
        <v>79</v>
      </c>
      <c r="L16" s="5">
        <f>ΟΠΑ!N12</f>
        <v>43</v>
      </c>
      <c r="M16" s="5">
        <f>ΟΠΑ!O12</f>
        <v>32</v>
      </c>
      <c r="N16" s="5">
        <f>ΟΠΑ!P12</f>
        <v>0</v>
      </c>
      <c r="O16" s="5">
        <f>ΟΠΑ!Q12</f>
        <v>0</v>
      </c>
      <c r="P16" s="5">
        <f>ΟΠΑ!R12</f>
        <v>230</v>
      </c>
      <c r="Q16" s="5">
        <f>ΟΠΑ!S12</f>
        <v>174</v>
      </c>
      <c r="R16" s="5">
        <f>ΟΠΑ!T12</f>
        <v>357</v>
      </c>
      <c r="S16" s="5">
        <f>ΟΠΑ!U12</f>
        <v>315</v>
      </c>
      <c r="T16" s="5">
        <f>ΟΠΑ!V12</f>
        <v>230</v>
      </c>
      <c r="U16" s="5">
        <f>ΟΠΑ!W12</f>
        <v>128</v>
      </c>
    </row>
    <row r="17" spans="1:22" s="6" customFormat="1" ht="73.5" customHeight="1">
      <c r="A17" s="261" t="s">
        <v>296</v>
      </c>
      <c r="B17" s="5">
        <f>'Π. ΑΙΓΑΙΟΥ'!D22</f>
        <v>782</v>
      </c>
      <c r="C17" s="5">
        <f>'Π. ΑΙΓΑΙΟΥ'!E22</f>
        <v>1030</v>
      </c>
      <c r="D17" s="5">
        <f>'Π. ΑΙΓΑΙΟΥ'!F22</f>
        <v>3593</v>
      </c>
      <c r="E17" s="5">
        <f>'Π. ΑΙΓΑΙΟΥ'!G22</f>
        <v>4684</v>
      </c>
      <c r="F17" s="5">
        <f>'Π. ΑΙΓΑΙΟΥ'!H22</f>
        <v>1053</v>
      </c>
      <c r="G17" s="5">
        <f>'Π. ΑΙΓΑΙΟΥ'!I22</f>
        <v>1120</v>
      </c>
      <c r="H17" s="5">
        <f>'Π. ΑΙΓΑΙΟΥ'!J22</f>
        <v>3854</v>
      </c>
      <c r="I17" s="5">
        <f>'Π. ΑΙΓΑΙΟΥ'!K22</f>
        <v>3763</v>
      </c>
      <c r="J17" s="5">
        <f>'Π. ΑΙΓΑΙΟΥ'!L22</f>
        <v>380</v>
      </c>
      <c r="K17" s="5">
        <f>'Π. ΑΙΓΑΙΟΥ'!M22</f>
        <v>521</v>
      </c>
      <c r="L17" s="5">
        <f>'Π. ΑΙΓΑΙΟΥ'!N22</f>
        <v>96</v>
      </c>
      <c r="M17" s="5">
        <f>'Π. ΑΙΓΑΙΟΥ'!O22</f>
        <v>66</v>
      </c>
      <c r="N17" s="5">
        <f>'Π. ΑΙΓΑΙΟΥ'!P22</f>
        <v>9</v>
      </c>
      <c r="O17" s="5">
        <f>'Π. ΑΙΓΑΙΟΥ'!Q22</f>
        <v>8</v>
      </c>
      <c r="P17" s="5">
        <f>'Π. ΑΙΓΑΙΟΥ'!R22</f>
        <v>94</v>
      </c>
      <c r="Q17" s="5">
        <f>'Π. ΑΙΓΑΙΟΥ'!S22</f>
        <v>256</v>
      </c>
      <c r="R17" s="5">
        <f>'Π. ΑΙΓΑΙΟΥ'!T22</f>
        <v>256</v>
      </c>
      <c r="S17" s="5">
        <f>'Π. ΑΙΓΑΙΟΥ'!U22</f>
        <v>513</v>
      </c>
      <c r="T17" s="5">
        <f>'Π. ΑΙΓΑΙΟΥ'!V22</f>
        <v>178</v>
      </c>
      <c r="U17" s="5">
        <f>'Π. ΑΙΓΑΙΟΥ'!W22</f>
        <v>169</v>
      </c>
    </row>
    <row r="18" spans="1:22" ht="73.5" customHeight="1">
      <c r="A18" s="261" t="s">
        <v>295</v>
      </c>
      <c r="B18" s="5">
        <f>ΠΑΔΑ!D30</f>
        <v>2168</v>
      </c>
      <c r="C18" s="5">
        <f>ΠΑΔΑ!E30</f>
        <v>2603</v>
      </c>
      <c r="D18" s="5">
        <f>ΠΑΔΑ!F30</f>
        <v>10250</v>
      </c>
      <c r="E18" s="5">
        <f>ΠΑΔΑ!G30</f>
        <v>10854</v>
      </c>
      <c r="F18" s="5">
        <f>ΠΑΔΑ!H30</f>
        <v>5515</v>
      </c>
      <c r="G18" s="5">
        <f>ΠΑΔΑ!I30</f>
        <v>3726</v>
      </c>
      <c r="H18" s="5">
        <f>ΠΑΔΑ!J30</f>
        <v>15922</v>
      </c>
      <c r="I18" s="5">
        <f>ΠΑΔΑ!K30</f>
        <v>8166</v>
      </c>
      <c r="J18" s="5">
        <f>ΠΑΔΑ!L30</f>
        <v>192</v>
      </c>
      <c r="K18" s="5">
        <f>ΠΑΔΑ!M30</f>
        <v>212</v>
      </c>
      <c r="L18" s="5">
        <f>ΠΑΔΑ!N30</f>
        <v>184</v>
      </c>
      <c r="M18" s="5">
        <f>ΠΑΔΑ!O30</f>
        <v>106</v>
      </c>
      <c r="N18" s="5">
        <f>ΠΑΔΑ!P30</f>
        <v>87</v>
      </c>
      <c r="O18" s="5">
        <f>ΠΑΔΑ!Q30</f>
        <v>47</v>
      </c>
      <c r="P18" s="5">
        <f>ΠΑΔΑ!R30</f>
        <v>67</v>
      </c>
      <c r="Q18" s="5">
        <f>ΠΑΔΑ!S30</f>
        <v>260</v>
      </c>
      <c r="R18" s="5">
        <f>ΠΑΔΑ!T30</f>
        <v>630</v>
      </c>
      <c r="S18" s="5">
        <f>ΠΑΔΑ!U30</f>
        <v>1174</v>
      </c>
      <c r="T18" s="5">
        <f>ΠΑΔΑ!V30</f>
        <v>501</v>
      </c>
      <c r="U18" s="5">
        <f>ΠΑΔΑ!W30</f>
        <v>449</v>
      </c>
    </row>
    <row r="19" spans="1:22" ht="73.5" customHeight="1">
      <c r="A19" s="285" t="s">
        <v>349</v>
      </c>
      <c r="B19" s="233">
        <f>Π.ΔΥΤ.ΜΑΚΕΔΟΝΙΑΣ!D41</f>
        <v>997</v>
      </c>
      <c r="C19" s="233">
        <f>Π.ΔΥΤ.ΜΑΚΕΔΟΝΙΑΣ!E41</f>
        <v>1320</v>
      </c>
      <c r="D19" s="233">
        <f>Π.ΔΥΤ.ΜΑΚΕΔΟΝΙΑΣ!F41</f>
        <v>5396</v>
      </c>
      <c r="E19" s="233">
        <f>Π.ΔΥΤ.ΜΑΚΕΔΟΝΙΑΣ!G41</f>
        <v>5572</v>
      </c>
      <c r="F19" s="233">
        <f>Π.ΔΥΤ.ΜΑΚΕΔΟΝΙΑΣ!H41</f>
        <v>3233</v>
      </c>
      <c r="G19" s="233">
        <f>Π.ΔΥΤ.ΜΑΚΕΔΟΝΙΑΣ!I41</f>
        <v>2194</v>
      </c>
      <c r="H19" s="233">
        <f>Π.ΔΥΤ.ΜΑΚΕΔΟΝΙΑΣ!J41</f>
        <v>12243</v>
      </c>
      <c r="I19" s="233">
        <f>Π.ΔΥΤ.ΜΑΚΕΔΟΝΙΑΣ!K41</f>
        <v>8745</v>
      </c>
      <c r="J19" s="233">
        <f>Π.ΔΥΤ.ΜΑΚΕΔΟΝΙΑΣ!L41</f>
        <v>446</v>
      </c>
      <c r="K19" s="233">
        <f>Π.ΔΥΤ.ΜΑΚΕΔΟΝΙΑΣ!M41</f>
        <v>598</v>
      </c>
      <c r="L19" s="233">
        <f>Π.ΔΥΤ.ΜΑΚΕΔΟΝΙΑΣ!N41</f>
        <v>77</v>
      </c>
      <c r="M19" s="233">
        <f>Π.ΔΥΤ.ΜΑΚΕΔΟΝΙΑΣ!O41</f>
        <v>79</v>
      </c>
      <c r="N19" s="233">
        <f>Π.ΔΥΤ.ΜΑΚΕΔΟΝΙΑΣ!P41</f>
        <v>9</v>
      </c>
      <c r="O19" s="233">
        <f>Π.ΔΥΤ.ΜΑΚΕΔΟΝΙΑΣ!Q41</f>
        <v>2</v>
      </c>
      <c r="P19" s="233">
        <f>Π.ΔΥΤ.ΜΑΚΕΔΟΝΙΑΣ!R41</f>
        <v>74</v>
      </c>
      <c r="Q19" s="233">
        <f>Π.ΔΥΤ.ΜΑΚΕΔΟΝΙΑΣ!S41</f>
        <v>276</v>
      </c>
      <c r="R19" s="233">
        <f>Π.ΔΥΤ.ΜΑΚΕΔΟΝΙΑΣ!T41</f>
        <v>406</v>
      </c>
      <c r="S19" s="233">
        <f>Π.ΔΥΤ.ΜΑΚΕΔΟΝΙΑΣ!U41</f>
        <v>492</v>
      </c>
      <c r="T19" s="233">
        <f>Π.ΔΥΤ.ΜΑΚΕΔΟΝΙΑΣ!V41</f>
        <v>526</v>
      </c>
      <c r="U19" s="233">
        <f>Π.ΔΥΤ.ΜΑΚΕΔΟΝΙΑΣ!W41</f>
        <v>327</v>
      </c>
    </row>
    <row r="20" spans="1:22" ht="73.5" customHeight="1">
      <c r="A20" s="261" t="s">
        <v>660</v>
      </c>
      <c r="B20" s="5">
        <f>Π.ΘΕΣΣΑΛΙΑΣ!D57</f>
        <v>2016</v>
      </c>
      <c r="C20" s="5">
        <f>Π.ΘΕΣΣΑΛΙΑΣ!E57</f>
        <v>2283</v>
      </c>
      <c r="D20" s="5">
        <f>Π.ΘΕΣΣΑΛΙΑΣ!F57</f>
        <v>8448</v>
      </c>
      <c r="E20" s="5">
        <f>Π.ΘΕΣΣΑΛΙΑΣ!G57</f>
        <v>9244</v>
      </c>
      <c r="F20" s="5">
        <f>Π.ΘΕΣΣΑΛΙΑΣ!H57</f>
        <v>2782</v>
      </c>
      <c r="G20" s="5">
        <f>Π.ΘΕΣΣΑΛΙΑΣ!I57</f>
        <v>1556</v>
      </c>
      <c r="H20" s="5">
        <f>Π.ΘΕΣΣΑΛΙΑΣ!J57</f>
        <v>10663</v>
      </c>
      <c r="I20" s="5">
        <f>Π.ΘΕΣΣΑΛΙΑΣ!K57</f>
        <v>5806</v>
      </c>
      <c r="J20" s="5">
        <f>Π.ΘΕΣΣΑΛΙΑΣ!L57</f>
        <v>595</v>
      </c>
      <c r="K20" s="5">
        <f>Π.ΘΕΣΣΑΛΙΑΣ!M57</f>
        <v>671</v>
      </c>
      <c r="L20" s="5">
        <f>Π.ΘΕΣΣΑΛΙΑΣ!N57</f>
        <v>148</v>
      </c>
      <c r="M20" s="5">
        <f>Π.ΘΕΣΣΑΛΙΑΣ!O57</f>
        <v>99</v>
      </c>
      <c r="N20" s="5">
        <f>Π.ΘΕΣΣΑΛΙΑΣ!P57</f>
        <v>7</v>
      </c>
      <c r="O20" s="5">
        <f>Π.ΘΕΣΣΑΛΙΑΣ!Q57</f>
        <v>9</v>
      </c>
      <c r="P20" s="5">
        <f>Π.ΘΕΣΣΑΛΙΑΣ!R57</f>
        <v>340</v>
      </c>
      <c r="Q20" s="5">
        <f>Π.ΘΕΣΣΑΛΙΑΣ!S57</f>
        <v>963</v>
      </c>
      <c r="R20" s="5">
        <f>Π.ΘΕΣΣΑΛΙΑΣ!T57</f>
        <v>792</v>
      </c>
      <c r="S20" s="5">
        <f>Π.ΘΕΣΣΑΛΙΑΣ!U57</f>
        <v>919</v>
      </c>
      <c r="T20" s="5">
        <f>Π.ΘΕΣΣΑΛΙΑΣ!V57</f>
        <v>618</v>
      </c>
      <c r="U20" s="5">
        <f>Π.ΘΕΣΣΑΛΙΑΣ!W57</f>
        <v>333</v>
      </c>
    </row>
    <row r="21" spans="1:22" ht="73.5" customHeight="1">
      <c r="A21" s="261" t="s">
        <v>323</v>
      </c>
      <c r="B21" s="5">
        <f>'Π. ΙΩΑΝΝΙΝΩΝ'!D34</f>
        <v>1205</v>
      </c>
      <c r="C21" s="5">
        <f>'Π. ΙΩΑΝΝΙΝΩΝ'!E34</f>
        <v>2008</v>
      </c>
      <c r="D21" s="5">
        <f>'Π. ΙΩΑΝΝΙΝΩΝ'!F34</f>
        <v>5151</v>
      </c>
      <c r="E21" s="5">
        <f>'Π. ΙΩΑΝΝΙΝΩΝ'!G34</f>
        <v>8040</v>
      </c>
      <c r="F21" s="5">
        <f>'Π. ΙΩΑΝΝΙΝΩΝ'!H34</f>
        <v>2045</v>
      </c>
      <c r="G21" s="5">
        <f>'Π. ΙΩΑΝΝΙΝΩΝ'!I34</f>
        <v>1967</v>
      </c>
      <c r="H21" s="5">
        <f>'Π. ΙΩΑΝΝΙΝΩΝ'!J34</f>
        <v>6817</v>
      </c>
      <c r="I21" s="5">
        <f>'Π. ΙΩΑΝΝΙΝΩΝ'!K34</f>
        <v>6332</v>
      </c>
      <c r="J21" s="5">
        <f>'Π. ΙΩΑΝΝΙΝΩΝ'!L34</f>
        <v>440</v>
      </c>
      <c r="K21" s="5">
        <f>'Π. ΙΩΑΝΝΙΝΩΝ'!M34</f>
        <v>767</v>
      </c>
      <c r="L21" s="5">
        <f>'Π. ΙΩΑΝΝΙΝΩΝ'!N34</f>
        <v>95</v>
      </c>
      <c r="M21" s="5">
        <f>'Π. ΙΩΑΝΝΙΝΩΝ'!O34</f>
        <v>63</v>
      </c>
      <c r="N21" s="5">
        <f>'Π. ΙΩΑΝΝΙΝΩΝ'!P34</f>
        <v>1</v>
      </c>
      <c r="O21" s="5">
        <f>'Π. ΙΩΑΝΝΙΝΩΝ'!Q34</f>
        <v>1</v>
      </c>
      <c r="P21" s="5">
        <f>'Π. ΙΩΑΝΝΙΝΩΝ'!R34</f>
        <v>188</v>
      </c>
      <c r="Q21" s="5">
        <f>'Π. ΙΩΑΝΝΙΝΩΝ'!S34</f>
        <v>709</v>
      </c>
      <c r="R21" s="5">
        <f>'Π. ΙΩΑΝΝΙΝΩΝ'!T34</f>
        <v>450</v>
      </c>
      <c r="S21" s="5">
        <f>'Π. ΙΩΑΝΝΙΝΩΝ'!U34</f>
        <v>1024</v>
      </c>
      <c r="T21" s="5">
        <f>'Π. ΙΩΑΝΝΙΝΩΝ'!V34</f>
        <v>292</v>
      </c>
      <c r="U21" s="5">
        <f>'Π. ΙΩΑΝΝΙΝΩΝ'!W34</f>
        <v>296</v>
      </c>
    </row>
    <row r="22" spans="1:22" ht="73.5" customHeight="1">
      <c r="A22" s="261" t="s">
        <v>448</v>
      </c>
      <c r="B22" s="5">
        <f>'Π. ΚΡΗΤΗΣ'!D21</f>
        <v>674</v>
      </c>
      <c r="C22" s="5">
        <f>'Π. ΚΡΗΤΗΣ'!E21</f>
        <v>1297</v>
      </c>
      <c r="D22" s="5">
        <f>'Π. ΚΡΗΤΗΣ'!F21</f>
        <v>3318</v>
      </c>
      <c r="E22" s="5">
        <f>'Π. ΚΡΗΤΗΣ'!G21</f>
        <v>5917</v>
      </c>
      <c r="F22" s="5">
        <f>'Π. ΚΡΗΤΗΣ'!H21</f>
        <v>1199</v>
      </c>
      <c r="G22" s="5">
        <f>'Π. ΚΡΗΤΗΣ'!I21</f>
        <v>1811</v>
      </c>
      <c r="H22" s="5">
        <f>'Π. ΚΡΗΤΗΣ'!J21</f>
        <v>3556</v>
      </c>
      <c r="I22" s="5">
        <f>'Π. ΚΡΗΤΗΣ'!K21</f>
        <v>3994</v>
      </c>
      <c r="J22" s="5">
        <f>'Π. ΚΡΗΤΗΣ'!L21</f>
        <v>271</v>
      </c>
      <c r="K22" s="5">
        <f>'Π. ΚΡΗΤΗΣ'!M21</f>
        <v>421</v>
      </c>
      <c r="L22" s="5">
        <f>'Π. ΚΡΗΤΗΣ'!N21</f>
        <v>84</v>
      </c>
      <c r="M22" s="5">
        <f>'Π. ΚΡΗΤΗΣ'!O21</f>
        <v>89</v>
      </c>
      <c r="N22" s="5">
        <f>'Π. ΚΡΗΤΗΣ'!P21</f>
        <v>0</v>
      </c>
      <c r="O22" s="5">
        <f>'Π. ΚΡΗΤΗΣ'!Q21</f>
        <v>0</v>
      </c>
      <c r="P22" s="5">
        <f>'Π. ΚΡΗΤΗΣ'!R21</f>
        <v>94</v>
      </c>
      <c r="Q22" s="5">
        <f>'Π. ΚΡΗΤΗΣ'!S21</f>
        <v>347</v>
      </c>
      <c r="R22" s="5">
        <f>'Π. ΚΡΗΤΗΣ'!T21</f>
        <v>232</v>
      </c>
      <c r="S22" s="5">
        <f>'Π. ΚΡΗΤΗΣ'!U21</f>
        <v>626</v>
      </c>
      <c r="T22" s="5">
        <f>'Π. ΚΡΗΤΗΣ'!V21</f>
        <v>183</v>
      </c>
      <c r="U22" s="5">
        <f>'Π. ΚΡΗΤΗΣ'!W21</f>
        <v>246</v>
      </c>
    </row>
    <row r="23" spans="1:22" ht="73.5" customHeight="1">
      <c r="A23" s="261" t="s">
        <v>459</v>
      </c>
      <c r="B23" s="233">
        <f>Π.ΜΑΚΕΔΟΝΙΑΣ!D14</f>
        <v>945</v>
      </c>
      <c r="C23" s="233">
        <f>Π.ΜΑΚΕΔΟΝΙΑΣ!E14</f>
        <v>1070</v>
      </c>
      <c r="D23" s="233">
        <f>Π.ΜΑΚΕΔΟΝΙΑΣ!F14</f>
        <v>3809</v>
      </c>
      <c r="E23" s="233">
        <f>Π.ΜΑΚΕΔΟΝΙΑΣ!G14</f>
        <v>3954</v>
      </c>
      <c r="F23" s="233">
        <f>Π.ΜΑΚΕΔΟΝΙΑΣ!H14</f>
        <v>808</v>
      </c>
      <c r="G23" s="233">
        <f>Π.ΜΑΚΕΔΟΝΙΑΣ!I14</f>
        <v>433</v>
      </c>
      <c r="H23" s="233">
        <f>Π.ΜΑΚΕΔΟΝΙΑΣ!J14</f>
        <v>2210</v>
      </c>
      <c r="I23" s="233">
        <f>Π.ΜΑΚΕΔΟΝΙΑΣ!K14</f>
        <v>1523</v>
      </c>
      <c r="J23" s="233">
        <f>Π.ΜΑΚΕΔΟΝΙΑΣ!L14</f>
        <v>133</v>
      </c>
      <c r="K23" s="233">
        <f>Π.ΜΑΚΕΔΟΝΙΑΣ!M14</f>
        <v>113</v>
      </c>
      <c r="L23" s="233">
        <f>Π.ΜΑΚΕΔΟΝΙΑΣ!N14</f>
        <v>56</v>
      </c>
      <c r="M23" s="233">
        <f>Π.ΜΑΚΕΔΟΝΙΑΣ!O14</f>
        <v>28</v>
      </c>
      <c r="N23" s="233">
        <f>Π.ΜΑΚΕΔΟΝΙΑΣ!P14</f>
        <v>8</v>
      </c>
      <c r="O23" s="233">
        <f>Π.ΜΑΚΕΔΟΝΙΑΣ!Q14</f>
        <v>7</v>
      </c>
      <c r="P23" s="233">
        <f>Π.ΜΑΚΕΔΟΝΙΑΣ!R14</f>
        <v>242</v>
      </c>
      <c r="Q23" s="233">
        <f>Π.ΜΑΚΕΔΟΝΙΑΣ!S14</f>
        <v>460</v>
      </c>
      <c r="R23" s="233">
        <f>Π.ΜΑΚΕΔΟΝΙΑΣ!T14</f>
        <v>385</v>
      </c>
      <c r="S23" s="233">
        <f>Π.ΜΑΚΕΔΟΝΙΑΣ!U14</f>
        <v>389</v>
      </c>
      <c r="T23" s="233">
        <f>Π.ΜΑΚΕΔΟΝΙΑΣ!V14</f>
        <v>144</v>
      </c>
      <c r="U23" s="233">
        <f>Π.ΜΑΚΕΔΟΝΙΑΣ!W14</f>
        <v>102</v>
      </c>
    </row>
    <row r="24" spans="1:22" ht="73.5" customHeight="1">
      <c r="A24" s="261" t="s">
        <v>477</v>
      </c>
      <c r="B24" s="5">
        <f>'ΠΑΝΕΠΙΣΤΗΜΙΟ ΠΑΤΡΩΝ'!D41</f>
        <v>2332</v>
      </c>
      <c r="C24" s="5">
        <f>'ΠΑΝΕΠΙΣΤΗΜΙΟ ΠΑΤΡΩΝ'!E41</f>
        <v>2841</v>
      </c>
      <c r="D24" s="5">
        <f>'ΠΑΝΕΠΙΣΤΗΜΙΟ ΠΑΤΡΩΝ'!F41</f>
        <v>10533</v>
      </c>
      <c r="E24" s="5">
        <f>'ΠΑΝΕΠΙΣΤΗΜΙΟ ΠΑΤΡΩΝ'!G41</f>
        <v>11732</v>
      </c>
      <c r="F24" s="5">
        <f>'ΠΑΝΕΠΙΣΤΗΜΙΟ ΠΑΤΡΩΝ'!H41</f>
        <v>3834</v>
      </c>
      <c r="G24" s="5">
        <f>'ΠΑΝΕΠΙΣΤΗΜΙΟ ΠΑΤΡΩΝ'!I41</f>
        <v>2934</v>
      </c>
      <c r="H24" s="5">
        <f>'ΠΑΝΕΠΙΣΤΗΜΙΟ ΠΑΤΡΩΝ'!J41</f>
        <v>12571</v>
      </c>
      <c r="I24" s="5">
        <f>'ΠΑΝΕΠΙΣΤΗΜΙΟ ΠΑΤΡΩΝ'!K41</f>
        <v>9038</v>
      </c>
      <c r="J24" s="5">
        <f>'ΠΑΝΕΠΙΣΤΗΜΙΟ ΠΑΤΡΩΝ'!L41</f>
        <v>486</v>
      </c>
      <c r="K24" s="5">
        <f>'ΠΑΝΕΠΙΣΤΗΜΙΟ ΠΑΤΡΩΝ'!M41</f>
        <v>557</v>
      </c>
      <c r="L24" s="5">
        <f>'ΠΑΝΕΠΙΣΤΗΜΙΟ ΠΑΤΡΩΝ'!N41</f>
        <v>84</v>
      </c>
      <c r="M24" s="5">
        <f>'ΠΑΝΕΠΙΣΤΗΜΙΟ ΠΑΤΡΩΝ'!O41</f>
        <v>76</v>
      </c>
      <c r="N24" s="5">
        <f>'ΠΑΝΕΠΙΣΤΗΜΙΟ ΠΑΤΡΩΝ'!P41</f>
        <v>11</v>
      </c>
      <c r="O24" s="5">
        <f>'ΠΑΝΕΠΙΣΤΗΜΙΟ ΠΑΤΡΩΝ'!Q41</f>
        <v>6</v>
      </c>
      <c r="P24" s="5">
        <f>'ΠΑΝΕΠΙΣΤΗΜΙΟ ΠΑΤΡΩΝ'!R41</f>
        <v>174</v>
      </c>
      <c r="Q24" s="5">
        <f>'ΠΑΝΕΠΙΣΤΗΜΙΟ ΠΑΤΡΩΝ'!S41</f>
        <v>590</v>
      </c>
      <c r="R24" s="5">
        <f>'ΠΑΝΕΠΙΣΤΗΜΙΟ ΠΑΤΡΩΝ'!T41</f>
        <v>1029</v>
      </c>
      <c r="S24" s="5">
        <f>'ΠΑΝΕΠΙΣΤΗΜΙΟ ΠΑΤΡΩΝ'!U41</f>
        <v>1557</v>
      </c>
      <c r="T24" s="5">
        <f>'ΠΑΝΕΠΙΣΤΗΜΙΟ ΠΑΤΡΩΝ'!V41</f>
        <v>528</v>
      </c>
      <c r="U24" s="5">
        <f>'ΠΑΝΕΠΙΣΤΗΜΙΟ ΠΑΤΡΩΝ'!W41</f>
        <v>511</v>
      </c>
    </row>
    <row r="25" spans="1:22" ht="73.5" customHeight="1">
      <c r="A25" s="261" t="s">
        <v>636</v>
      </c>
      <c r="B25" s="5">
        <f>ΠΑΠΕΙ!C14</f>
        <v>1306</v>
      </c>
      <c r="C25" s="5">
        <f>ΠΑΠΕΙ!D14</f>
        <v>946</v>
      </c>
      <c r="D25" s="5">
        <f>ΠΑΠΕΙ!E14</f>
        <v>5097</v>
      </c>
      <c r="E25" s="5">
        <f>ΠΑΠΕΙ!F14</f>
        <v>3670</v>
      </c>
      <c r="F25" s="5">
        <f>ΠΑΠΕΙ!G14</f>
        <v>2118</v>
      </c>
      <c r="G25" s="5">
        <f>ΠΑΠΕΙ!H14</f>
        <v>1012</v>
      </c>
      <c r="H25" s="5">
        <f>ΠΑΠΕΙ!I14</f>
        <v>8391</v>
      </c>
      <c r="I25" s="5">
        <f>ΠΑΠΕΙ!J14</f>
        <v>4310</v>
      </c>
      <c r="J25" s="5">
        <f>ΠΑΠΕΙ!K14</f>
        <v>124</v>
      </c>
      <c r="K25" s="5">
        <f>ΠΑΠΕΙ!L14</f>
        <v>64</v>
      </c>
      <c r="L25" s="5">
        <f>ΠΑΠΕΙ!M14</f>
        <v>41</v>
      </c>
      <c r="M25" s="5">
        <f>ΠΑΠΕΙ!N14</f>
        <v>12</v>
      </c>
      <c r="N25" s="5">
        <f>ΠΑΠΕΙ!O14</f>
        <v>2</v>
      </c>
      <c r="O25" s="5">
        <f>ΠΑΠΕΙ!P14</f>
        <v>1</v>
      </c>
      <c r="P25" s="5">
        <f>ΠΑΠΕΙ!Q14</f>
        <v>252</v>
      </c>
      <c r="Q25" s="5">
        <f>ΠΑΠΕΙ!R14</f>
        <v>299</v>
      </c>
      <c r="R25" s="5">
        <f>ΠΑΠΕΙ!S14</f>
        <v>471</v>
      </c>
      <c r="S25" s="5">
        <f>ΠΑΠΕΙ!T14</f>
        <v>408</v>
      </c>
      <c r="T25" s="5">
        <f>ΠΑΠΕΙ!U14</f>
        <v>178</v>
      </c>
      <c r="U25" s="5">
        <f>ΠΑΠΕΙ!V14</f>
        <v>88</v>
      </c>
    </row>
    <row r="26" spans="1:22" ht="73.5" customHeight="1">
      <c r="A26" s="261" t="s">
        <v>672</v>
      </c>
      <c r="B26" s="5">
        <f>ΠΑΠΕΛ!D26</f>
        <v>1482</v>
      </c>
      <c r="C26" s="5">
        <f>ΠΑΠΕΛ!E26</f>
        <v>1250</v>
      </c>
      <c r="D26" s="5">
        <f>ΠΑΠΕΛ!F26</f>
        <v>5107</v>
      </c>
      <c r="E26" s="5">
        <f>ΠΑΠΕΛ!G26</f>
        <v>4713</v>
      </c>
      <c r="F26" s="5">
        <f>ΠΑΠΕΛ!H26</f>
        <v>1812</v>
      </c>
      <c r="G26" s="5">
        <f>ΠΑΠΕΛ!I26</f>
        <v>1236</v>
      </c>
      <c r="H26" s="5">
        <f>ΠΑΠΕΛ!J26</f>
        <v>5336</v>
      </c>
      <c r="I26" s="5">
        <f>ΠΑΠΕΛ!K26</f>
        <v>2974</v>
      </c>
      <c r="J26" s="5">
        <f>ΠΑΠΕΛ!L26</f>
        <v>566</v>
      </c>
      <c r="K26" s="5">
        <f>ΠΑΠΕΛ!M26</f>
        <v>531</v>
      </c>
      <c r="L26" s="5">
        <f>ΠΑΠΕΛ!N26</f>
        <v>49</v>
      </c>
      <c r="M26" s="5">
        <f>ΠΑΠΕΛ!O26</f>
        <v>38</v>
      </c>
      <c r="N26" s="5">
        <f>ΠΑΠΕΛ!P26</f>
        <v>7</v>
      </c>
      <c r="O26" s="5">
        <f>ΠΑΠΕΛ!Q26</f>
        <v>5</v>
      </c>
      <c r="P26" s="5">
        <f>ΠΑΠΕΛ!R26</f>
        <v>83</v>
      </c>
      <c r="Q26" s="5">
        <f>ΠΑΠΕΛ!S26</f>
        <v>129</v>
      </c>
      <c r="R26" s="5">
        <f>ΠΑΠΕΛ!T26</f>
        <v>348</v>
      </c>
      <c r="S26" s="5">
        <f>ΠΑΠΕΛ!U26</f>
        <v>426</v>
      </c>
      <c r="T26" s="5">
        <f>ΠΑΠΕΛ!V26</f>
        <v>362</v>
      </c>
      <c r="U26" s="5">
        <f>ΠΑΠΕΛ!W26</f>
        <v>288</v>
      </c>
    </row>
    <row r="27" spans="1:22" ht="73.5" customHeight="1">
      <c r="A27" s="261" t="s">
        <v>920</v>
      </c>
      <c r="B27" s="232">
        <v>553</v>
      </c>
      <c r="C27" s="232">
        <v>1278</v>
      </c>
      <c r="D27" s="232">
        <v>2296</v>
      </c>
      <c r="E27" s="232">
        <v>5197</v>
      </c>
      <c r="F27" s="232">
        <v>619</v>
      </c>
      <c r="G27" s="232">
        <v>1013</v>
      </c>
      <c r="H27" s="232">
        <v>4908</v>
      </c>
      <c r="I27" s="232">
        <v>6113</v>
      </c>
      <c r="J27" s="232">
        <v>64</v>
      </c>
      <c r="K27" s="232">
        <v>129</v>
      </c>
      <c r="L27" s="232">
        <v>19</v>
      </c>
      <c r="M27" s="232">
        <v>16</v>
      </c>
      <c r="N27" s="232">
        <v>0</v>
      </c>
      <c r="O27" s="232">
        <v>0</v>
      </c>
      <c r="P27" s="232">
        <v>32</v>
      </c>
      <c r="Q27" s="232">
        <v>94</v>
      </c>
      <c r="R27" s="232">
        <v>85</v>
      </c>
      <c r="S27" s="232">
        <v>246</v>
      </c>
      <c r="T27" s="232">
        <v>144</v>
      </c>
      <c r="U27" s="232">
        <v>230</v>
      </c>
      <c r="V27" s="234"/>
    </row>
    <row r="28" spans="1:22" ht="73.5" customHeight="1">
      <c r="A28" s="262" t="s">
        <v>317</v>
      </c>
      <c r="B28" s="5">
        <f>ΠΑΕΑΚ!D6</f>
        <v>4</v>
      </c>
      <c r="C28" s="5">
        <f>ΠΑΕΑΚ!E6</f>
        <v>0</v>
      </c>
      <c r="D28" s="5">
        <f>ΠΑΕΑΚ!F6</f>
        <v>81</v>
      </c>
      <c r="E28" s="5">
        <f>ΠΑΕΑΚ!G6</f>
        <v>9</v>
      </c>
      <c r="F28" s="5">
        <f>ΠΑΕΑΚ!H6</f>
        <v>81</v>
      </c>
      <c r="G28" s="5">
        <f>ΠΑΕΑΚ!I6</f>
        <v>65</v>
      </c>
      <c r="H28" s="5">
        <f>ΠΑΕΑΚ!J6</f>
        <v>308</v>
      </c>
      <c r="I28" s="5">
        <f>ΠΑΕΑΚ!K6</f>
        <v>253</v>
      </c>
      <c r="J28" s="5">
        <f>ΠΑΕΑΚ!L6</f>
        <v>7</v>
      </c>
      <c r="K28" s="5">
        <f>ΠΑΕΑΚ!M6</f>
        <v>3</v>
      </c>
      <c r="L28" s="5">
        <f>ΠΑΕΑΚ!N6</f>
        <v>2</v>
      </c>
      <c r="M28" s="5">
        <f>ΠΑΕΑΚ!O6</f>
        <v>0</v>
      </c>
      <c r="N28" s="5">
        <f>ΠΑΕΑΚ!P6</f>
        <v>0</v>
      </c>
      <c r="O28" s="5">
        <f>ΠΑΕΑΚ!Q6</f>
        <v>0</v>
      </c>
      <c r="P28" s="5">
        <f>ΠΑΕΑΚ!R6</f>
        <v>9</v>
      </c>
      <c r="Q28" s="5">
        <f>ΠΑΕΑΚ!S6</f>
        <v>2</v>
      </c>
      <c r="R28" s="5">
        <f>ΠΑΕΑΚ!T6</f>
        <v>4</v>
      </c>
      <c r="S28" s="5">
        <f>ΠΑΕΑΚ!U6</f>
        <v>0</v>
      </c>
      <c r="T28" s="5">
        <f>ΠΑΕΑΚ!V6</f>
        <v>1</v>
      </c>
      <c r="U28" s="5">
        <f>ΠΑΕΑΚ!W6</f>
        <v>4</v>
      </c>
    </row>
    <row r="29" spans="1:22" ht="73.5" customHeight="1">
      <c r="A29" s="261" t="s">
        <v>635</v>
      </c>
      <c r="B29" s="5">
        <f>ΠΟΛ.ΚΡΗΤΗΣ!D9</f>
        <v>350</v>
      </c>
      <c r="C29" s="5">
        <f>ΠΟΛ.ΚΡΗΤΗΣ!E9</f>
        <v>244</v>
      </c>
      <c r="D29" s="5">
        <f>ΠΟΛ.ΚΡΗΤΗΣ!F9</f>
        <v>1851</v>
      </c>
      <c r="E29" s="5">
        <f>ΠΟΛ.ΚΡΗΤΗΣ!G9</f>
        <v>1124</v>
      </c>
      <c r="F29" s="5">
        <f>ΠΟΛ.ΚΡΗΤΗΣ!H9</f>
        <v>884</v>
      </c>
      <c r="G29" s="5">
        <f>ΠΟΛ.ΚΡΗΤΗΣ!I9</f>
        <v>415</v>
      </c>
      <c r="H29" s="5">
        <f>ΠΟΛ.ΚΡΗΤΗΣ!J9</f>
        <v>539</v>
      </c>
      <c r="I29" s="5">
        <f>ΠΟΛ.ΚΡΗΤΗΣ!K9</f>
        <v>248</v>
      </c>
      <c r="J29" s="5">
        <f>ΠΟΛ.ΚΡΗΤΗΣ!L9</f>
        <v>118</v>
      </c>
      <c r="K29" s="5">
        <f>ΠΟΛ.ΚΡΗΤΗΣ!M9</f>
        <v>39</v>
      </c>
      <c r="L29" s="5">
        <f>ΠΟΛ.ΚΡΗΤΗΣ!N9</f>
        <v>20</v>
      </c>
      <c r="M29" s="5">
        <f>ΠΟΛ.ΚΡΗΤΗΣ!O9</f>
        <v>10</v>
      </c>
      <c r="N29" s="5">
        <f>ΠΟΛ.ΚΡΗΤΗΣ!P9</f>
        <v>14</v>
      </c>
      <c r="O29" s="5">
        <f>ΠΟΛ.ΚΡΗΤΗΣ!Q9</f>
        <v>3</v>
      </c>
      <c r="P29" s="5">
        <f>ΠΟΛ.ΚΡΗΤΗΣ!R9</f>
        <v>10</v>
      </c>
      <c r="Q29" s="5">
        <f>ΠΟΛ.ΚΡΗΤΗΣ!S9</f>
        <v>3</v>
      </c>
      <c r="R29" s="5">
        <f>ΠΟΛ.ΚΡΗΤΗΣ!T9</f>
        <v>142</v>
      </c>
      <c r="S29" s="5">
        <f>ΠΟΛ.ΚΡΗΤΗΣ!U9</f>
        <v>97</v>
      </c>
      <c r="T29" s="5">
        <f>ΠΟΛ.ΚΡΗΤΗΣ!V9</f>
        <v>77</v>
      </c>
      <c r="U29" s="5">
        <f>ΠΟΛ.ΚΡΗΤΗΣ!W9</f>
        <v>48</v>
      </c>
    </row>
    <row r="30" spans="1:22" ht="73.5" customHeight="1">
      <c r="A30" s="261" t="s">
        <v>626</v>
      </c>
      <c r="B30" s="5">
        <f>'ΧΑΡΟΚΟΠΕΙΟ ΠΑΝ.'!D8</f>
        <v>200</v>
      </c>
      <c r="C30" s="5">
        <f>'ΧΑΡΟΚΟΠΕΙΟ ΠΑΝ.'!E8</f>
        <v>206</v>
      </c>
      <c r="D30" s="5">
        <f>'ΧΑΡΟΚΟΠΕΙΟ ΠΑΝ.'!F8</f>
        <v>915</v>
      </c>
      <c r="E30" s="5">
        <f>'ΧΑΡΟΚΟΠΕΙΟ ΠΑΝ.'!G8</f>
        <v>810</v>
      </c>
      <c r="F30" s="5">
        <f>'ΧΑΡΟΚΟΠΕΙΟ ΠΑΝ.'!H8</f>
        <v>254</v>
      </c>
      <c r="G30" s="5">
        <f>'ΧΑΡΟΚΟΠΕΙΟ ΠΑΝ.'!I8</f>
        <v>196</v>
      </c>
      <c r="H30" s="5">
        <f>'ΧΑΡΟΚΟΠΕΙΟ ΠΑΝ.'!J8</f>
        <v>695</v>
      </c>
      <c r="I30" s="5">
        <f>'ΧΑΡΟΚΟΠΕΙΟ ΠΑΝ.'!K8</f>
        <v>565</v>
      </c>
      <c r="J30" s="5">
        <f>'ΧΑΡΟΚΟΠΕΙΟ ΠΑΝ.'!L8</f>
        <v>27</v>
      </c>
      <c r="K30" s="5">
        <f>'ΧΑΡΟΚΟΠΕΙΟ ΠΑΝ.'!M8</f>
        <v>24</v>
      </c>
      <c r="L30" s="5">
        <f>'ΧΑΡΟΚΟΠΕΙΟ ΠΑΝ.'!N8</f>
        <v>20</v>
      </c>
      <c r="M30" s="5">
        <f>'ΧΑΡΟΚΟΠΕΙΟ ΠΑΝ.'!O8</f>
        <v>18</v>
      </c>
      <c r="N30" s="5">
        <f>'ΧΑΡΟΚΟΠΕΙΟ ΠΑΝ.'!P8</f>
        <v>0</v>
      </c>
      <c r="O30" s="5">
        <f>'ΧΑΡΟΚΟΠΕΙΟ ΠΑΝ.'!Q8</f>
        <v>0</v>
      </c>
      <c r="P30" s="5">
        <f>'ΧΑΡΟΚΟΠΕΙΟ ΠΑΝ.'!R8</f>
        <v>30</v>
      </c>
      <c r="Q30" s="5">
        <f>'ΧΑΡΟΚΟΠΕΙΟ ΠΑΝ.'!S8</f>
        <v>49</v>
      </c>
      <c r="R30" s="5">
        <f>'ΧΑΡΟΚΟΠΕΙΟ ΠΑΝ.'!T8</f>
        <v>41</v>
      </c>
      <c r="S30" s="5">
        <f>'ΧΑΡΟΚΟΠΕΙΟ ΠΑΝ.'!U8</f>
        <v>65</v>
      </c>
      <c r="T30" s="5">
        <f>'ΧΑΡΟΚΟΠΕΙΟ ΠΑΝ.'!V8</f>
        <v>43</v>
      </c>
      <c r="U30" s="5">
        <f>'ΧΑΡΟΚΟΠΕΙΟ ΠΑΝ.'!W8</f>
        <v>30</v>
      </c>
    </row>
    <row r="31" spans="1:22" ht="73.5" customHeight="1">
      <c r="A31" s="261" t="s">
        <v>126</v>
      </c>
      <c r="B31" s="5">
        <f t="shared" ref="B31:U31" si="0">SUM(B4:B30)</f>
        <v>29798</v>
      </c>
      <c r="C31" s="5">
        <f t="shared" si="0"/>
        <v>36612</v>
      </c>
      <c r="D31" s="5">
        <f t="shared" si="0"/>
        <v>128990</v>
      </c>
      <c r="E31" s="5">
        <f t="shared" si="0"/>
        <v>152459</v>
      </c>
      <c r="F31" s="5">
        <f t="shared" si="0"/>
        <v>50996</v>
      </c>
      <c r="G31" s="5">
        <f t="shared" si="0"/>
        <v>39235</v>
      </c>
      <c r="H31" s="5">
        <f t="shared" si="0"/>
        <v>194154</v>
      </c>
      <c r="I31" s="5">
        <f t="shared" si="0"/>
        <v>139401</v>
      </c>
      <c r="J31" s="5">
        <f t="shared" si="0"/>
        <v>8410</v>
      </c>
      <c r="K31" s="5">
        <f t="shared" si="0"/>
        <v>9328</v>
      </c>
      <c r="L31" s="5">
        <f t="shared" si="0"/>
        <v>4554</v>
      </c>
      <c r="M31" s="5">
        <f t="shared" si="0"/>
        <v>4076</v>
      </c>
      <c r="N31" s="5">
        <f t="shared" si="0"/>
        <v>4322</v>
      </c>
      <c r="O31" s="5">
        <f t="shared" si="0"/>
        <v>4178</v>
      </c>
      <c r="P31" s="5">
        <f t="shared" si="0"/>
        <v>3565</v>
      </c>
      <c r="Q31" s="5">
        <f t="shared" si="0"/>
        <v>8432</v>
      </c>
      <c r="R31" s="5">
        <f t="shared" si="0"/>
        <v>11736</v>
      </c>
      <c r="S31" s="5">
        <f t="shared" si="0"/>
        <v>17259</v>
      </c>
      <c r="T31" s="5">
        <f t="shared" si="0"/>
        <v>7970</v>
      </c>
      <c r="U31" s="5">
        <f t="shared" si="0"/>
        <v>6860</v>
      </c>
    </row>
  </sheetData>
  <mergeCells count="11">
    <mergeCell ref="T2:U2"/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workbookViewId="0">
      <selection activeCell="X1" sqref="X1:X1048576"/>
    </sheetView>
  </sheetViews>
  <sheetFormatPr defaultColWidth="9.140625" defaultRowHeight="15"/>
  <cols>
    <col min="1" max="1" width="41.140625" customWidth="1"/>
    <col min="2" max="2" width="31.42578125" customWidth="1"/>
    <col min="3" max="3" width="22.42578125" customWidth="1"/>
    <col min="4" max="23" width="5.85546875" style="6" customWidth="1"/>
  </cols>
  <sheetData>
    <row r="1" spans="1:23">
      <c r="A1" s="320" t="s">
        <v>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38.25" customHeight="1">
      <c r="A2" s="175" t="s">
        <v>0</v>
      </c>
      <c r="B2" s="175" t="s">
        <v>4</v>
      </c>
      <c r="C2" s="175" t="s">
        <v>1</v>
      </c>
      <c r="D2" s="318" t="s">
        <v>5</v>
      </c>
      <c r="E2" s="321"/>
      <c r="F2" s="322" t="s">
        <v>2</v>
      </c>
      <c r="G2" s="321"/>
      <c r="H2" s="318" t="s">
        <v>10</v>
      </c>
      <c r="I2" s="321"/>
      <c r="J2" s="323" t="s">
        <v>11</v>
      </c>
      <c r="K2" s="321"/>
      <c r="L2" s="323" t="s">
        <v>9</v>
      </c>
      <c r="M2" s="324"/>
      <c r="N2" s="323" t="s">
        <v>14</v>
      </c>
      <c r="O2" s="324"/>
      <c r="P2" s="323" t="s">
        <v>15</v>
      </c>
      <c r="Q2" s="324"/>
      <c r="R2" s="318" t="s">
        <v>3</v>
      </c>
      <c r="S2" s="321"/>
      <c r="T2" s="318" t="s">
        <v>12</v>
      </c>
      <c r="U2" s="321"/>
      <c r="V2" s="318" t="s">
        <v>13</v>
      </c>
      <c r="W2" s="319"/>
    </row>
    <row r="3" spans="1:23">
      <c r="A3" s="176"/>
      <c r="B3" s="176"/>
      <c r="C3" s="176"/>
      <c r="D3" s="77" t="s">
        <v>6</v>
      </c>
      <c r="E3" s="77" t="s">
        <v>7</v>
      </c>
      <c r="F3" s="77" t="s">
        <v>6</v>
      </c>
      <c r="G3" s="77" t="s">
        <v>7</v>
      </c>
      <c r="H3" s="77" t="s">
        <v>6</v>
      </c>
      <c r="I3" s="77" t="s">
        <v>7</v>
      </c>
      <c r="J3" s="77" t="s">
        <v>6</v>
      </c>
      <c r="K3" s="77" t="s">
        <v>7</v>
      </c>
      <c r="L3" s="77" t="s">
        <v>6</v>
      </c>
      <c r="M3" s="77" t="s">
        <v>7</v>
      </c>
      <c r="N3" s="77" t="s">
        <v>6</v>
      </c>
      <c r="O3" s="77" t="s">
        <v>7</v>
      </c>
      <c r="P3" s="77" t="s">
        <v>6</v>
      </c>
      <c r="Q3" s="77" t="s">
        <v>7</v>
      </c>
      <c r="R3" s="77" t="s">
        <v>6</v>
      </c>
      <c r="S3" s="77" t="s">
        <v>7</v>
      </c>
      <c r="T3" s="77" t="s">
        <v>6</v>
      </c>
      <c r="U3" s="77" t="s">
        <v>7</v>
      </c>
      <c r="V3" s="77" t="s">
        <v>6</v>
      </c>
      <c r="W3" s="77" t="s">
        <v>7</v>
      </c>
    </row>
    <row r="4" spans="1:23" ht="26.25">
      <c r="A4" s="131" t="s">
        <v>71</v>
      </c>
      <c r="B4" s="131" t="s">
        <v>71</v>
      </c>
      <c r="C4" s="57" t="s">
        <v>72</v>
      </c>
      <c r="D4" s="134">
        <v>14</v>
      </c>
      <c r="E4" s="134">
        <v>0</v>
      </c>
      <c r="F4" s="134">
        <v>120</v>
      </c>
      <c r="G4" s="134">
        <v>0</v>
      </c>
      <c r="H4" s="134">
        <v>80</v>
      </c>
      <c r="I4" s="134">
        <v>0</v>
      </c>
      <c r="J4" s="134">
        <v>339</v>
      </c>
      <c r="K4" s="134">
        <v>0</v>
      </c>
      <c r="L4" s="134">
        <v>8</v>
      </c>
      <c r="M4" s="134">
        <v>0</v>
      </c>
      <c r="N4" s="134">
        <v>1</v>
      </c>
      <c r="O4" s="134">
        <v>0</v>
      </c>
      <c r="P4" s="134">
        <v>0</v>
      </c>
      <c r="Q4" s="134">
        <v>0</v>
      </c>
      <c r="R4" s="134">
        <v>7</v>
      </c>
      <c r="S4" s="134">
        <v>0</v>
      </c>
      <c r="T4" s="134">
        <v>4</v>
      </c>
      <c r="U4" s="134">
        <v>0</v>
      </c>
      <c r="V4" s="134">
        <v>4</v>
      </c>
      <c r="W4" s="134">
        <v>0</v>
      </c>
    </row>
    <row r="5" spans="1:23" ht="39">
      <c r="A5" s="131" t="s">
        <v>71</v>
      </c>
      <c r="B5" s="131" t="s">
        <v>71</v>
      </c>
      <c r="C5" s="131" t="s">
        <v>73</v>
      </c>
      <c r="D5" s="134">
        <v>0</v>
      </c>
      <c r="E5" s="134">
        <v>0</v>
      </c>
      <c r="F5" s="134">
        <v>13</v>
      </c>
      <c r="G5" s="134">
        <v>18</v>
      </c>
      <c r="H5" s="134">
        <v>17</v>
      </c>
      <c r="I5" s="134">
        <v>21</v>
      </c>
      <c r="J5" s="134">
        <v>156</v>
      </c>
      <c r="K5" s="134">
        <v>88</v>
      </c>
      <c r="L5" s="134">
        <v>2</v>
      </c>
      <c r="M5" s="134">
        <v>0</v>
      </c>
      <c r="N5" s="134">
        <v>1</v>
      </c>
      <c r="O5" s="134">
        <v>1</v>
      </c>
      <c r="P5" s="134">
        <v>0</v>
      </c>
      <c r="Q5" s="134">
        <v>0</v>
      </c>
      <c r="R5" s="134">
        <v>1</v>
      </c>
      <c r="S5" s="134">
        <v>1</v>
      </c>
      <c r="T5" s="134">
        <v>0</v>
      </c>
      <c r="U5" s="134">
        <v>8</v>
      </c>
      <c r="V5" s="134">
        <v>3</v>
      </c>
      <c r="W5" s="134">
        <v>1</v>
      </c>
    </row>
    <row r="6" spans="1:23" ht="51.75">
      <c r="A6" s="131" t="s">
        <v>74</v>
      </c>
      <c r="B6" s="131" t="s">
        <v>75</v>
      </c>
      <c r="C6" s="131" t="s">
        <v>76</v>
      </c>
      <c r="D6" s="134">
        <v>0</v>
      </c>
      <c r="E6" s="134">
        <v>0</v>
      </c>
      <c r="F6" s="134">
        <v>69</v>
      </c>
      <c r="G6" s="134">
        <v>0</v>
      </c>
      <c r="H6" s="134">
        <v>44</v>
      </c>
      <c r="I6" s="134">
        <v>0</v>
      </c>
      <c r="J6" s="134">
        <v>130</v>
      </c>
      <c r="K6" s="134">
        <v>0</v>
      </c>
      <c r="L6" s="134">
        <v>1</v>
      </c>
      <c r="M6" s="134">
        <v>0</v>
      </c>
      <c r="N6" s="134">
        <v>2</v>
      </c>
      <c r="O6" s="134">
        <v>0</v>
      </c>
      <c r="P6" s="134">
        <v>0</v>
      </c>
      <c r="Q6" s="134">
        <v>0</v>
      </c>
      <c r="R6" s="134">
        <v>4</v>
      </c>
      <c r="S6" s="134">
        <v>0</v>
      </c>
      <c r="T6" s="134">
        <v>3</v>
      </c>
      <c r="U6" s="134">
        <v>0</v>
      </c>
      <c r="V6" s="134">
        <v>2</v>
      </c>
      <c r="W6" s="134">
        <v>0</v>
      </c>
    </row>
    <row r="7" spans="1:23" ht="64.5">
      <c r="A7" s="131" t="s">
        <v>77</v>
      </c>
      <c r="B7" s="131" t="s">
        <v>77</v>
      </c>
      <c r="C7" s="131" t="s">
        <v>78</v>
      </c>
      <c r="D7" s="134">
        <v>0</v>
      </c>
      <c r="E7" s="134">
        <v>0</v>
      </c>
      <c r="F7" s="134">
        <v>10</v>
      </c>
      <c r="G7" s="134">
        <v>8</v>
      </c>
      <c r="H7" s="134">
        <v>17</v>
      </c>
      <c r="I7" s="134">
        <v>7</v>
      </c>
      <c r="J7" s="134">
        <v>93</v>
      </c>
      <c r="K7" s="134">
        <v>41</v>
      </c>
      <c r="L7" s="134">
        <v>0</v>
      </c>
      <c r="M7" s="134">
        <v>1</v>
      </c>
      <c r="N7" s="134">
        <v>0</v>
      </c>
      <c r="O7" s="134">
        <v>0</v>
      </c>
      <c r="P7" s="134">
        <v>0</v>
      </c>
      <c r="Q7" s="134">
        <v>0</v>
      </c>
      <c r="R7" s="134">
        <v>2</v>
      </c>
      <c r="S7" s="134">
        <v>2</v>
      </c>
      <c r="T7" s="134">
        <v>1</v>
      </c>
      <c r="U7" s="134">
        <v>0</v>
      </c>
      <c r="V7" s="134">
        <v>0</v>
      </c>
      <c r="W7" s="134">
        <v>0</v>
      </c>
    </row>
    <row r="8" spans="1:23" ht="51.75">
      <c r="A8" s="131" t="s">
        <v>77</v>
      </c>
      <c r="B8" s="131" t="s">
        <v>77</v>
      </c>
      <c r="C8" s="131" t="s">
        <v>79</v>
      </c>
      <c r="D8" s="134">
        <v>0</v>
      </c>
      <c r="E8" s="134">
        <v>0</v>
      </c>
      <c r="F8" s="134">
        <v>51</v>
      </c>
      <c r="G8" s="134">
        <v>0</v>
      </c>
      <c r="H8" s="134">
        <v>50</v>
      </c>
      <c r="I8" s="134">
        <v>0</v>
      </c>
      <c r="J8" s="134">
        <v>460</v>
      </c>
      <c r="K8" s="134">
        <v>0</v>
      </c>
      <c r="L8" s="134">
        <v>2</v>
      </c>
      <c r="M8" s="134">
        <v>0</v>
      </c>
      <c r="N8" s="134">
        <v>0</v>
      </c>
      <c r="O8" s="134">
        <v>0</v>
      </c>
      <c r="P8" s="134">
        <v>1</v>
      </c>
      <c r="Q8" s="134">
        <v>0</v>
      </c>
      <c r="R8" s="134">
        <v>5</v>
      </c>
      <c r="S8" s="134">
        <v>0</v>
      </c>
      <c r="T8" s="134">
        <v>6</v>
      </c>
      <c r="U8" s="134">
        <v>0</v>
      </c>
      <c r="V8" s="134">
        <v>3</v>
      </c>
      <c r="W8" s="134">
        <v>0</v>
      </c>
    </row>
    <row r="9" spans="1:23">
      <c r="A9" s="60"/>
      <c r="B9" s="60"/>
      <c r="C9" s="131" t="s">
        <v>126</v>
      </c>
      <c r="D9" s="134">
        <f>SUM(D4:D8)</f>
        <v>14</v>
      </c>
      <c r="E9" s="134">
        <f t="shared" ref="E9:W9" si="0">SUM(E4:E8)</f>
        <v>0</v>
      </c>
      <c r="F9" s="134">
        <f t="shared" si="0"/>
        <v>263</v>
      </c>
      <c r="G9" s="134">
        <f t="shared" si="0"/>
        <v>26</v>
      </c>
      <c r="H9" s="134">
        <f t="shared" si="0"/>
        <v>208</v>
      </c>
      <c r="I9" s="134">
        <f t="shared" si="0"/>
        <v>28</v>
      </c>
      <c r="J9" s="134">
        <f t="shared" si="0"/>
        <v>1178</v>
      </c>
      <c r="K9" s="134">
        <f t="shared" si="0"/>
        <v>129</v>
      </c>
      <c r="L9" s="134">
        <f t="shared" si="0"/>
        <v>13</v>
      </c>
      <c r="M9" s="134">
        <f t="shared" si="0"/>
        <v>1</v>
      </c>
      <c r="N9" s="134">
        <f t="shared" si="0"/>
        <v>4</v>
      </c>
      <c r="O9" s="134">
        <f t="shared" si="0"/>
        <v>1</v>
      </c>
      <c r="P9" s="134">
        <f t="shared" si="0"/>
        <v>1</v>
      </c>
      <c r="Q9" s="134">
        <f t="shared" si="0"/>
        <v>0</v>
      </c>
      <c r="R9" s="134">
        <f t="shared" si="0"/>
        <v>19</v>
      </c>
      <c r="S9" s="134">
        <f t="shared" si="0"/>
        <v>3</v>
      </c>
      <c r="T9" s="134">
        <f t="shared" si="0"/>
        <v>14</v>
      </c>
      <c r="U9" s="134">
        <f t="shared" si="0"/>
        <v>8</v>
      </c>
      <c r="V9" s="134">
        <f t="shared" si="0"/>
        <v>12</v>
      </c>
      <c r="W9" s="134">
        <f t="shared" si="0"/>
        <v>1</v>
      </c>
    </row>
    <row r="10" spans="1:23">
      <c r="M10" s="149"/>
      <c r="N10" s="149"/>
      <c r="O10" s="149"/>
      <c r="P10" s="149"/>
      <c r="Q10" s="149"/>
    </row>
    <row r="11" spans="1:23">
      <c r="M11" s="149"/>
      <c r="N11" s="149"/>
      <c r="O11" s="149"/>
      <c r="P11" s="149"/>
      <c r="Q11" s="149"/>
    </row>
    <row r="12" spans="1:23">
      <c r="M12" s="149"/>
      <c r="N12" s="149"/>
      <c r="O12" s="149"/>
      <c r="P12" s="149"/>
      <c r="Q12" s="149"/>
    </row>
    <row r="13" spans="1:23">
      <c r="M13" s="149"/>
      <c r="N13" s="149"/>
      <c r="O13" s="149"/>
      <c r="P13" s="149"/>
      <c r="Q13" s="149"/>
    </row>
    <row r="14" spans="1:23">
      <c r="M14" s="149"/>
      <c r="N14" s="149"/>
      <c r="O14" s="149"/>
      <c r="P14" s="149"/>
      <c r="Q14" s="149"/>
    </row>
    <row r="15" spans="1:23">
      <c r="M15" s="149"/>
      <c r="N15" s="149"/>
      <c r="O15" s="149"/>
      <c r="P15" s="149"/>
      <c r="Q15" s="149"/>
    </row>
    <row r="16" spans="1:23">
      <c r="M16" s="149"/>
      <c r="N16" s="149"/>
      <c r="O16" s="149"/>
      <c r="P16" s="149"/>
      <c r="Q16" s="149"/>
    </row>
    <row r="17" spans="13:17">
      <c r="M17" s="149"/>
      <c r="N17" s="149"/>
      <c r="O17" s="149"/>
      <c r="P17" s="149"/>
      <c r="Q17" s="149"/>
    </row>
    <row r="18" spans="13:17">
      <c r="M18" s="149"/>
      <c r="N18" s="149"/>
      <c r="O18" s="149"/>
      <c r="P18" s="149"/>
      <c r="Q18" s="149"/>
    </row>
    <row r="19" spans="13:17">
      <c r="M19" s="149"/>
      <c r="N19" s="149"/>
      <c r="O19" s="149"/>
      <c r="P19" s="149"/>
      <c r="Q19" s="149"/>
    </row>
  </sheetData>
  <mergeCells count="11">
    <mergeCell ref="V2:W2"/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workbookViewId="0">
      <selection activeCell="X1" sqref="X1:X1048576"/>
    </sheetView>
  </sheetViews>
  <sheetFormatPr defaultRowHeight="15"/>
  <cols>
    <col min="1" max="1" width="31.85546875" bestFit="1" customWidth="1"/>
    <col min="2" max="2" width="22.42578125" bestFit="1" customWidth="1"/>
    <col min="3" max="3" width="32.42578125" bestFit="1" customWidth="1"/>
    <col min="4" max="23" width="5.85546875" style="6" customWidth="1"/>
  </cols>
  <sheetData>
    <row r="1" spans="1:23">
      <c r="A1" s="320" t="s">
        <v>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74.25" customHeight="1">
      <c r="A2" s="1" t="s">
        <v>0</v>
      </c>
      <c r="B2" s="1" t="s">
        <v>4</v>
      </c>
      <c r="C2" s="1" t="s">
        <v>1</v>
      </c>
      <c r="D2" s="311" t="s">
        <v>5</v>
      </c>
      <c r="E2" s="321"/>
      <c r="F2" s="325" t="s">
        <v>2</v>
      </c>
      <c r="G2" s="321"/>
      <c r="H2" s="311" t="s">
        <v>10</v>
      </c>
      <c r="I2" s="321"/>
      <c r="J2" s="326" t="s">
        <v>11</v>
      </c>
      <c r="K2" s="321"/>
      <c r="L2" s="326" t="s">
        <v>9</v>
      </c>
      <c r="M2" s="327"/>
      <c r="N2" s="326" t="s">
        <v>14</v>
      </c>
      <c r="O2" s="327"/>
      <c r="P2" s="326" t="s">
        <v>15</v>
      </c>
      <c r="Q2" s="327"/>
      <c r="R2" s="311" t="s">
        <v>3</v>
      </c>
      <c r="S2" s="321"/>
      <c r="T2" s="311" t="s">
        <v>12</v>
      </c>
      <c r="U2" s="321"/>
      <c r="V2" s="311" t="s">
        <v>13</v>
      </c>
      <c r="W2" s="319"/>
    </row>
    <row r="3" spans="1:23" ht="54" customHeight="1">
      <c r="A3" s="1"/>
      <c r="B3" s="1"/>
      <c r="C3" s="1"/>
      <c r="D3" s="22" t="s">
        <v>6</v>
      </c>
      <c r="E3" s="22" t="s">
        <v>7</v>
      </c>
      <c r="F3" s="22" t="s">
        <v>6</v>
      </c>
      <c r="G3" s="22" t="s">
        <v>7</v>
      </c>
      <c r="H3" s="22" t="s">
        <v>6</v>
      </c>
      <c r="I3" s="22" t="s">
        <v>7</v>
      </c>
      <c r="J3" s="22" t="s">
        <v>6</v>
      </c>
      <c r="K3" s="22" t="s">
        <v>7</v>
      </c>
      <c r="L3" s="22" t="s">
        <v>6</v>
      </c>
      <c r="M3" s="22" t="s">
        <v>7</v>
      </c>
      <c r="N3" s="22" t="s">
        <v>6</v>
      </c>
      <c r="O3" s="22" t="s">
        <v>7</v>
      </c>
      <c r="P3" s="22" t="s">
        <v>6</v>
      </c>
      <c r="Q3" s="22" t="s">
        <v>7</v>
      </c>
      <c r="R3" s="22" t="s">
        <v>6</v>
      </c>
      <c r="S3" s="22" t="s">
        <v>7</v>
      </c>
      <c r="T3" s="22" t="s">
        <v>6</v>
      </c>
      <c r="U3" s="22" t="s">
        <v>7</v>
      </c>
      <c r="V3" s="22" t="s">
        <v>6</v>
      </c>
      <c r="W3" s="22" t="s">
        <v>7</v>
      </c>
    </row>
    <row r="4" spans="1:23">
      <c r="A4" s="57" t="s">
        <v>80</v>
      </c>
      <c r="B4" s="57" t="s">
        <v>66</v>
      </c>
      <c r="C4" s="57" t="s">
        <v>81</v>
      </c>
      <c r="D4" s="134">
        <v>45</v>
      </c>
      <c r="E4" s="134">
        <v>88</v>
      </c>
      <c r="F4" s="134">
        <v>270</v>
      </c>
      <c r="G4" s="134">
        <v>474</v>
      </c>
      <c r="H4" s="134">
        <v>84</v>
      </c>
      <c r="I4" s="134">
        <v>125</v>
      </c>
      <c r="J4" s="134">
        <v>109</v>
      </c>
      <c r="K4" s="134">
        <v>109</v>
      </c>
      <c r="L4" s="134">
        <v>0</v>
      </c>
      <c r="M4" s="174">
        <v>4</v>
      </c>
      <c r="N4" s="174">
        <v>4</v>
      </c>
      <c r="O4" s="174">
        <v>5</v>
      </c>
      <c r="P4" s="174">
        <v>0</v>
      </c>
      <c r="Q4" s="174">
        <v>0</v>
      </c>
      <c r="R4" s="174">
        <v>1</v>
      </c>
      <c r="S4" s="174">
        <v>0</v>
      </c>
      <c r="T4" s="174">
        <v>24</v>
      </c>
      <c r="U4" s="174">
        <v>43</v>
      </c>
      <c r="V4" s="174">
        <v>6</v>
      </c>
      <c r="W4" s="174">
        <v>15</v>
      </c>
    </row>
    <row r="5" spans="1:23">
      <c r="A5" s="57" t="s">
        <v>80</v>
      </c>
      <c r="B5" s="57" t="s">
        <v>66</v>
      </c>
      <c r="C5" s="57" t="s">
        <v>82</v>
      </c>
      <c r="D5" s="134">
        <v>12</v>
      </c>
      <c r="E5" s="134">
        <v>126</v>
      </c>
      <c r="F5" s="134">
        <v>53</v>
      </c>
      <c r="G5" s="134">
        <v>317</v>
      </c>
      <c r="H5" s="134">
        <v>30</v>
      </c>
      <c r="I5" s="134">
        <v>133</v>
      </c>
      <c r="J5" s="134">
        <v>26</v>
      </c>
      <c r="K5" s="134">
        <v>144</v>
      </c>
      <c r="L5" s="134">
        <v>0</v>
      </c>
      <c r="M5" s="174">
        <v>11</v>
      </c>
      <c r="N5" s="174">
        <v>1</v>
      </c>
      <c r="O5" s="174">
        <v>5</v>
      </c>
      <c r="P5" s="174">
        <v>0</v>
      </c>
      <c r="Q5" s="174">
        <v>0</v>
      </c>
      <c r="R5" s="174">
        <v>0</v>
      </c>
      <c r="S5" s="174">
        <v>1</v>
      </c>
      <c r="T5" s="174">
        <v>4</v>
      </c>
      <c r="U5" s="174">
        <v>10</v>
      </c>
      <c r="V5" s="174">
        <v>1</v>
      </c>
      <c r="W5" s="174">
        <v>4</v>
      </c>
    </row>
    <row r="6" spans="1:23">
      <c r="A6" s="57" t="s">
        <v>80</v>
      </c>
      <c r="B6" s="57"/>
      <c r="C6" s="57" t="s">
        <v>126</v>
      </c>
      <c r="D6" s="134">
        <f>SUM(D4:D5)</f>
        <v>57</v>
      </c>
      <c r="E6" s="134">
        <f t="shared" ref="E6:W6" si="0">SUM(E4:E5)</f>
        <v>214</v>
      </c>
      <c r="F6" s="134">
        <f t="shared" si="0"/>
        <v>323</v>
      </c>
      <c r="G6" s="134">
        <f t="shared" si="0"/>
        <v>791</v>
      </c>
      <c r="H6" s="134">
        <f t="shared" si="0"/>
        <v>114</v>
      </c>
      <c r="I6" s="134">
        <f t="shared" si="0"/>
        <v>258</v>
      </c>
      <c r="J6" s="134">
        <f t="shared" si="0"/>
        <v>135</v>
      </c>
      <c r="K6" s="134">
        <f t="shared" si="0"/>
        <v>253</v>
      </c>
      <c r="L6" s="134">
        <f t="shared" si="0"/>
        <v>0</v>
      </c>
      <c r="M6" s="134">
        <f t="shared" si="0"/>
        <v>15</v>
      </c>
      <c r="N6" s="134">
        <f t="shared" si="0"/>
        <v>5</v>
      </c>
      <c r="O6" s="134">
        <f t="shared" si="0"/>
        <v>10</v>
      </c>
      <c r="P6" s="134">
        <f t="shared" si="0"/>
        <v>0</v>
      </c>
      <c r="Q6" s="134">
        <f t="shared" si="0"/>
        <v>0</v>
      </c>
      <c r="R6" s="134">
        <f t="shared" si="0"/>
        <v>1</v>
      </c>
      <c r="S6" s="134">
        <f t="shared" si="0"/>
        <v>1</v>
      </c>
      <c r="T6" s="134">
        <f t="shared" si="0"/>
        <v>28</v>
      </c>
      <c r="U6" s="134">
        <f t="shared" si="0"/>
        <v>53</v>
      </c>
      <c r="V6" s="134">
        <f t="shared" si="0"/>
        <v>7</v>
      </c>
      <c r="W6" s="134">
        <f t="shared" si="0"/>
        <v>19</v>
      </c>
    </row>
    <row r="7" spans="1:23">
      <c r="M7" s="149"/>
      <c r="N7" s="149"/>
      <c r="O7" s="149"/>
      <c r="P7" s="149"/>
      <c r="Q7" s="149"/>
    </row>
    <row r="8" spans="1:23">
      <c r="M8" s="149"/>
      <c r="N8" s="149"/>
      <c r="O8" s="149"/>
      <c r="P8" s="149"/>
      <c r="Q8" s="149"/>
    </row>
    <row r="9" spans="1:23">
      <c r="M9" s="149"/>
      <c r="N9" s="149"/>
      <c r="O9" s="149"/>
      <c r="P9" s="149"/>
      <c r="Q9" s="149"/>
    </row>
    <row r="10" spans="1:23">
      <c r="M10" s="149"/>
      <c r="N10" s="149"/>
      <c r="O10" s="149"/>
      <c r="P10" s="149"/>
      <c r="Q10" s="149"/>
    </row>
    <row r="11" spans="1:23">
      <c r="M11" s="149"/>
      <c r="N11" s="149"/>
      <c r="O11" s="149"/>
      <c r="P11" s="149"/>
      <c r="Q11" s="149"/>
    </row>
    <row r="12" spans="1:23">
      <c r="M12" s="149"/>
      <c r="N12" s="149"/>
      <c r="O12" s="149"/>
      <c r="P12" s="149"/>
      <c r="Q12" s="149"/>
    </row>
    <row r="13" spans="1:23">
      <c r="M13" s="149"/>
      <c r="N13" s="149"/>
      <c r="O13" s="149"/>
      <c r="P13" s="149"/>
      <c r="Q13" s="149"/>
    </row>
    <row r="14" spans="1:23">
      <c r="M14" s="149"/>
      <c r="N14" s="149"/>
      <c r="O14" s="149"/>
      <c r="P14" s="149"/>
      <c r="Q14" s="149"/>
    </row>
    <row r="15" spans="1:23">
      <c r="M15" s="149"/>
      <c r="N15" s="149"/>
      <c r="O15" s="149"/>
      <c r="P15" s="149"/>
      <c r="Q15" s="149"/>
    </row>
    <row r="16" spans="1:23">
      <c r="M16" s="149"/>
      <c r="N16" s="149"/>
      <c r="O16" s="149"/>
      <c r="P16" s="149"/>
      <c r="Q16" s="149"/>
    </row>
    <row r="17" spans="13:17">
      <c r="M17" s="149"/>
      <c r="N17" s="149"/>
      <c r="O17" s="149"/>
      <c r="P17" s="149"/>
      <c r="Q17" s="149"/>
    </row>
    <row r="18" spans="13:17">
      <c r="M18" s="149"/>
      <c r="N18" s="149"/>
      <c r="O18" s="149"/>
      <c r="P18" s="149"/>
      <c r="Q18" s="149"/>
    </row>
    <row r="19" spans="13:17">
      <c r="M19" s="149"/>
      <c r="N19" s="149"/>
      <c r="O19" s="149"/>
      <c r="P19" s="149"/>
      <c r="Q19" s="149"/>
    </row>
  </sheetData>
  <mergeCells count="11">
    <mergeCell ref="V2:W2"/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X1" sqref="X1:X1048576"/>
    </sheetView>
  </sheetViews>
  <sheetFormatPr defaultRowHeight="15"/>
  <cols>
    <col min="1" max="1" width="15.28515625" customWidth="1"/>
    <col min="2" max="2" width="29" bestFit="1" customWidth="1"/>
    <col min="3" max="3" width="26" customWidth="1"/>
    <col min="4" max="23" width="5.85546875" style="28" customWidth="1"/>
  </cols>
  <sheetData>
    <row r="1" spans="1:23">
      <c r="A1" s="320" t="s">
        <v>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129" customHeight="1">
      <c r="A2" s="1" t="s">
        <v>0</v>
      </c>
      <c r="B2" s="22" t="s">
        <v>4</v>
      </c>
      <c r="C2" s="1" t="s">
        <v>1</v>
      </c>
      <c r="D2" s="311" t="s">
        <v>5</v>
      </c>
      <c r="E2" s="321"/>
      <c r="F2" s="328" t="s">
        <v>2</v>
      </c>
      <c r="G2" s="329"/>
      <c r="H2" s="311" t="s">
        <v>10</v>
      </c>
      <c r="I2" s="321"/>
      <c r="J2" s="326" t="s">
        <v>11</v>
      </c>
      <c r="K2" s="321"/>
      <c r="L2" s="326" t="s">
        <v>9</v>
      </c>
      <c r="M2" s="327"/>
      <c r="N2" s="326" t="s">
        <v>14</v>
      </c>
      <c r="O2" s="327"/>
      <c r="P2" s="326" t="s">
        <v>15</v>
      </c>
      <c r="Q2" s="327"/>
      <c r="R2" s="311" t="s">
        <v>3</v>
      </c>
      <c r="S2" s="321"/>
      <c r="T2" s="311" t="s">
        <v>12</v>
      </c>
      <c r="U2" s="321"/>
      <c r="V2" s="311" t="s">
        <v>13</v>
      </c>
      <c r="W2" s="319"/>
    </row>
    <row r="3" spans="1:23">
      <c r="A3" s="129"/>
      <c r="B3" s="129"/>
      <c r="C3" s="129"/>
      <c r="D3" s="64" t="s">
        <v>6</v>
      </c>
      <c r="E3" s="64" t="s">
        <v>7</v>
      </c>
      <c r="F3" s="64" t="s">
        <v>6</v>
      </c>
      <c r="G3" s="64" t="s">
        <v>7</v>
      </c>
      <c r="H3" s="64" t="s">
        <v>6</v>
      </c>
      <c r="I3" s="64" t="s">
        <v>7</v>
      </c>
      <c r="J3" s="64" t="s">
        <v>6</v>
      </c>
      <c r="K3" s="64" t="s">
        <v>7</v>
      </c>
      <c r="L3" s="64" t="s">
        <v>6</v>
      </c>
      <c r="M3" s="64" t="s">
        <v>7</v>
      </c>
      <c r="N3" s="64" t="s">
        <v>6</v>
      </c>
      <c r="O3" s="64" t="s">
        <v>7</v>
      </c>
      <c r="P3" s="64" t="s">
        <v>6</v>
      </c>
      <c r="Q3" s="64" t="s">
        <v>7</v>
      </c>
      <c r="R3" s="64" t="s">
        <v>6</v>
      </c>
      <c r="S3" s="64" t="s">
        <v>7</v>
      </c>
      <c r="T3" s="64" t="s">
        <v>6</v>
      </c>
      <c r="U3" s="64" t="s">
        <v>7</v>
      </c>
      <c r="V3" s="64" t="s">
        <v>6</v>
      </c>
      <c r="W3" s="64" t="s">
        <v>7</v>
      </c>
    </row>
    <row r="4" spans="1:23" ht="76.5">
      <c r="A4" s="73" t="s">
        <v>127</v>
      </c>
      <c r="B4" s="134" t="s">
        <v>84</v>
      </c>
      <c r="C4" s="73" t="s">
        <v>85</v>
      </c>
      <c r="D4" s="134">
        <v>42</v>
      </c>
      <c r="E4" s="134">
        <v>8</v>
      </c>
      <c r="F4" s="134">
        <v>311</v>
      </c>
      <c r="G4" s="134">
        <v>68</v>
      </c>
      <c r="H4" s="134">
        <v>204</v>
      </c>
      <c r="I4" s="134">
        <v>42</v>
      </c>
      <c r="J4" s="134">
        <v>309</v>
      </c>
      <c r="K4" s="134">
        <v>54</v>
      </c>
      <c r="L4" s="134">
        <v>4</v>
      </c>
      <c r="M4" s="174">
        <v>3</v>
      </c>
      <c r="N4" s="174">
        <v>3</v>
      </c>
      <c r="O4" s="174">
        <v>2</v>
      </c>
      <c r="P4" s="174">
        <v>0</v>
      </c>
      <c r="Q4" s="174">
        <v>0</v>
      </c>
      <c r="R4" s="174">
        <v>2</v>
      </c>
      <c r="S4" s="174">
        <v>0</v>
      </c>
      <c r="T4" s="174">
        <v>22</v>
      </c>
      <c r="U4" s="174">
        <v>4</v>
      </c>
      <c r="V4" s="174">
        <v>28</v>
      </c>
      <c r="W4" s="174">
        <v>1</v>
      </c>
    </row>
    <row r="5" spans="1:23" ht="76.5">
      <c r="A5" s="73" t="s">
        <v>127</v>
      </c>
      <c r="B5" s="134" t="s">
        <v>84</v>
      </c>
      <c r="C5" s="73" t="s">
        <v>86</v>
      </c>
      <c r="D5" s="134">
        <v>20</v>
      </c>
      <c r="E5" s="134">
        <v>6</v>
      </c>
      <c r="F5" s="134">
        <v>282</v>
      </c>
      <c r="G5" s="134">
        <v>72</v>
      </c>
      <c r="H5" s="134">
        <v>191</v>
      </c>
      <c r="I5" s="134">
        <v>40</v>
      </c>
      <c r="J5" s="134">
        <v>311</v>
      </c>
      <c r="K5" s="134">
        <v>67</v>
      </c>
      <c r="L5" s="134">
        <v>4</v>
      </c>
      <c r="M5" s="174">
        <v>2</v>
      </c>
      <c r="N5" s="174">
        <v>4</v>
      </c>
      <c r="O5" s="174">
        <v>1</v>
      </c>
      <c r="P5" s="174">
        <v>0</v>
      </c>
      <c r="Q5" s="174">
        <v>0</v>
      </c>
      <c r="R5" s="174">
        <v>0</v>
      </c>
      <c r="S5" s="174">
        <v>1</v>
      </c>
      <c r="T5" s="174">
        <v>32</v>
      </c>
      <c r="U5" s="174">
        <v>5</v>
      </c>
      <c r="V5" s="174">
        <v>23</v>
      </c>
      <c r="W5" s="174">
        <v>3</v>
      </c>
    </row>
    <row r="6" spans="1:23" ht="63.75">
      <c r="A6" s="73" t="s">
        <v>127</v>
      </c>
      <c r="B6" s="134" t="s">
        <v>84</v>
      </c>
      <c r="C6" s="145" t="s">
        <v>87</v>
      </c>
      <c r="D6" s="134">
        <v>31</v>
      </c>
      <c r="E6" s="134">
        <v>9</v>
      </c>
      <c r="F6" s="134">
        <v>309</v>
      </c>
      <c r="G6" s="134">
        <v>62</v>
      </c>
      <c r="H6" s="134">
        <v>220</v>
      </c>
      <c r="I6" s="134">
        <v>44</v>
      </c>
      <c r="J6" s="134">
        <v>290</v>
      </c>
      <c r="K6" s="134">
        <v>30</v>
      </c>
      <c r="L6" s="134">
        <v>5</v>
      </c>
      <c r="M6" s="174">
        <v>1</v>
      </c>
      <c r="N6" s="174">
        <v>4</v>
      </c>
      <c r="O6" s="174">
        <v>3</v>
      </c>
      <c r="P6" s="174">
        <v>0</v>
      </c>
      <c r="Q6" s="174">
        <v>0</v>
      </c>
      <c r="R6" s="174">
        <v>0</v>
      </c>
      <c r="S6" s="174">
        <v>0</v>
      </c>
      <c r="T6" s="174">
        <v>31</v>
      </c>
      <c r="U6" s="174">
        <v>8</v>
      </c>
      <c r="V6" s="174">
        <v>24</v>
      </c>
      <c r="W6" s="174">
        <v>1</v>
      </c>
    </row>
    <row r="7" spans="1:23" ht="63.75">
      <c r="A7" s="73" t="s">
        <v>127</v>
      </c>
      <c r="B7" s="134" t="s">
        <v>84</v>
      </c>
      <c r="C7" s="73" t="s">
        <v>88</v>
      </c>
      <c r="D7" s="134">
        <v>10</v>
      </c>
      <c r="E7" s="134">
        <v>16</v>
      </c>
      <c r="F7" s="134">
        <v>132</v>
      </c>
      <c r="G7" s="134">
        <v>183</v>
      </c>
      <c r="H7" s="134">
        <v>148</v>
      </c>
      <c r="I7" s="134">
        <v>130</v>
      </c>
      <c r="J7" s="134">
        <v>197</v>
      </c>
      <c r="K7" s="134">
        <v>191</v>
      </c>
      <c r="L7" s="134">
        <v>2</v>
      </c>
      <c r="M7" s="174">
        <v>4</v>
      </c>
      <c r="N7" s="174">
        <v>5</v>
      </c>
      <c r="O7" s="174">
        <v>2</v>
      </c>
      <c r="P7" s="174">
        <v>0</v>
      </c>
      <c r="Q7" s="174">
        <v>0</v>
      </c>
      <c r="R7" s="174">
        <v>0</v>
      </c>
      <c r="S7" s="174">
        <v>0</v>
      </c>
      <c r="T7" s="174">
        <v>8</v>
      </c>
      <c r="U7" s="174">
        <v>20</v>
      </c>
      <c r="V7" s="174">
        <v>20</v>
      </c>
      <c r="W7" s="174">
        <v>6</v>
      </c>
    </row>
    <row r="8" spans="1:23">
      <c r="A8" s="134" t="s">
        <v>83</v>
      </c>
      <c r="B8" s="134"/>
      <c r="C8" s="73" t="s">
        <v>126</v>
      </c>
      <c r="D8" s="58">
        <f>SUM(D4:D7)</f>
        <v>103</v>
      </c>
      <c r="E8" s="58">
        <f t="shared" ref="E8:W8" si="0">SUM(E4:E7)</f>
        <v>39</v>
      </c>
      <c r="F8" s="58">
        <f t="shared" si="0"/>
        <v>1034</v>
      </c>
      <c r="G8" s="58">
        <f t="shared" si="0"/>
        <v>385</v>
      </c>
      <c r="H8" s="58">
        <f t="shared" si="0"/>
        <v>763</v>
      </c>
      <c r="I8" s="58">
        <f t="shared" si="0"/>
        <v>256</v>
      </c>
      <c r="J8" s="58">
        <f t="shared" si="0"/>
        <v>1107</v>
      </c>
      <c r="K8" s="58">
        <f t="shared" si="0"/>
        <v>342</v>
      </c>
      <c r="L8" s="58">
        <f t="shared" si="0"/>
        <v>15</v>
      </c>
      <c r="M8" s="58">
        <f t="shared" si="0"/>
        <v>10</v>
      </c>
      <c r="N8" s="58">
        <f t="shared" si="0"/>
        <v>16</v>
      </c>
      <c r="O8" s="58">
        <f t="shared" si="0"/>
        <v>8</v>
      </c>
      <c r="P8" s="58">
        <f t="shared" si="0"/>
        <v>0</v>
      </c>
      <c r="Q8" s="58">
        <f t="shared" si="0"/>
        <v>0</v>
      </c>
      <c r="R8" s="58">
        <f t="shared" si="0"/>
        <v>2</v>
      </c>
      <c r="S8" s="58">
        <f t="shared" si="0"/>
        <v>1</v>
      </c>
      <c r="T8" s="58">
        <f t="shared" si="0"/>
        <v>93</v>
      </c>
      <c r="U8" s="58">
        <f t="shared" si="0"/>
        <v>37</v>
      </c>
      <c r="V8" s="58">
        <f t="shared" si="0"/>
        <v>95</v>
      </c>
      <c r="W8" s="58">
        <f t="shared" si="0"/>
        <v>11</v>
      </c>
    </row>
    <row r="9" spans="1:23">
      <c r="B9" s="6"/>
      <c r="M9" s="63"/>
      <c r="N9" s="63"/>
      <c r="O9" s="63"/>
      <c r="P9" s="63"/>
      <c r="Q9" s="63"/>
    </row>
    <row r="10" spans="1:23">
      <c r="B10" s="6"/>
      <c r="M10" s="63"/>
      <c r="N10" s="63"/>
      <c r="O10" s="63"/>
      <c r="P10" s="63"/>
      <c r="Q10" s="63"/>
    </row>
    <row r="11" spans="1:23">
      <c r="B11" s="6"/>
      <c r="M11" s="63"/>
      <c r="N11" s="63"/>
      <c r="O11" s="63"/>
      <c r="P11" s="63"/>
      <c r="Q11" s="63"/>
    </row>
    <row r="12" spans="1:23">
      <c r="B12" s="6"/>
      <c r="M12" s="63"/>
      <c r="N12" s="63"/>
      <c r="O12" s="63"/>
      <c r="P12" s="63"/>
      <c r="Q12" s="63"/>
    </row>
    <row r="13" spans="1:23">
      <c r="B13" s="6"/>
      <c r="M13" s="63"/>
      <c r="N13" s="63"/>
      <c r="O13" s="63"/>
      <c r="P13" s="63"/>
      <c r="Q13" s="63"/>
    </row>
    <row r="14" spans="1:23">
      <c r="B14" s="6"/>
      <c r="M14" s="63"/>
      <c r="N14" s="63"/>
      <c r="O14" s="63"/>
      <c r="P14" s="63"/>
      <c r="Q14" s="63"/>
    </row>
    <row r="15" spans="1:23">
      <c r="B15" s="6"/>
      <c r="M15" s="63"/>
      <c r="N15" s="63"/>
      <c r="O15" s="63"/>
      <c r="P15" s="63"/>
      <c r="Q15" s="63"/>
    </row>
    <row r="16" spans="1:23">
      <c r="B16" s="6"/>
      <c r="M16" s="63"/>
      <c r="N16" s="63"/>
      <c r="O16" s="63"/>
      <c r="P16" s="63"/>
      <c r="Q16" s="63"/>
    </row>
    <row r="17" spans="2:17">
      <c r="B17" s="6"/>
      <c r="M17" s="63"/>
      <c r="N17" s="63"/>
      <c r="O17" s="63"/>
      <c r="P17" s="63"/>
      <c r="Q17" s="63"/>
    </row>
    <row r="18" spans="2:17">
      <c r="B18" s="6"/>
      <c r="M18" s="63"/>
      <c r="N18" s="63"/>
      <c r="O18" s="63"/>
      <c r="P18" s="63"/>
      <c r="Q18" s="63"/>
    </row>
    <row r="19" spans="2:17">
      <c r="B19" s="6"/>
      <c r="M19" s="63"/>
      <c r="N19" s="63"/>
      <c r="O19" s="63"/>
      <c r="P19" s="63"/>
      <c r="Q19" s="63"/>
    </row>
    <row r="20" spans="2:17">
      <c r="B20" s="6"/>
    </row>
    <row r="21" spans="2:17">
      <c r="B21" s="6"/>
    </row>
    <row r="22" spans="2:17">
      <c r="B22" s="6"/>
    </row>
  </sheetData>
  <mergeCells count="11">
    <mergeCell ref="V2:W2"/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opLeftCell="A37" workbookViewId="0">
      <selection activeCell="E48" sqref="E48"/>
    </sheetView>
  </sheetViews>
  <sheetFormatPr defaultRowHeight="15"/>
  <cols>
    <col min="2" max="2" width="22.85546875" customWidth="1"/>
    <col min="3" max="3" width="26" customWidth="1"/>
    <col min="4" max="23" width="5.85546875" style="28" customWidth="1"/>
  </cols>
  <sheetData>
    <row r="1" spans="1:23">
      <c r="A1" s="320" t="s">
        <v>8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95.45" customHeight="1">
      <c r="A2" s="150" t="s">
        <v>0</v>
      </c>
      <c r="B2" s="150" t="s">
        <v>4</v>
      </c>
      <c r="C2" s="150" t="s">
        <v>1</v>
      </c>
      <c r="D2" s="330" t="s">
        <v>5</v>
      </c>
      <c r="E2" s="332"/>
      <c r="F2" s="333" t="s">
        <v>2</v>
      </c>
      <c r="G2" s="334"/>
      <c r="H2" s="330" t="s">
        <v>10</v>
      </c>
      <c r="I2" s="332"/>
      <c r="J2" s="335" t="s">
        <v>11</v>
      </c>
      <c r="K2" s="332"/>
      <c r="L2" s="335" t="s">
        <v>9</v>
      </c>
      <c r="M2" s="335"/>
      <c r="N2" s="335" t="s">
        <v>14</v>
      </c>
      <c r="O2" s="335"/>
      <c r="P2" s="335" t="s">
        <v>15</v>
      </c>
      <c r="Q2" s="335"/>
      <c r="R2" s="330" t="s">
        <v>3</v>
      </c>
      <c r="S2" s="332"/>
      <c r="T2" s="330" t="s">
        <v>12</v>
      </c>
      <c r="U2" s="332"/>
      <c r="V2" s="330" t="s">
        <v>13</v>
      </c>
      <c r="W2" s="331"/>
    </row>
    <row r="3" spans="1:23" ht="25.5">
      <c r="A3" s="150"/>
      <c r="B3" s="150"/>
      <c r="C3" s="150"/>
      <c r="D3" s="150" t="s">
        <v>6</v>
      </c>
      <c r="E3" s="150" t="s">
        <v>7</v>
      </c>
      <c r="F3" s="150" t="s">
        <v>6</v>
      </c>
      <c r="G3" s="150" t="s">
        <v>7</v>
      </c>
      <c r="H3" s="150" t="s">
        <v>6</v>
      </c>
      <c r="I3" s="150" t="s">
        <v>7</v>
      </c>
      <c r="J3" s="150" t="s">
        <v>6</v>
      </c>
      <c r="K3" s="150" t="s">
        <v>7</v>
      </c>
      <c r="L3" s="150" t="s">
        <v>6</v>
      </c>
      <c r="M3" s="150" t="s">
        <v>7</v>
      </c>
      <c r="N3" s="150" t="s">
        <v>6</v>
      </c>
      <c r="O3" s="150" t="s">
        <v>7</v>
      </c>
      <c r="P3" s="150" t="s">
        <v>6</v>
      </c>
      <c r="Q3" s="150" t="s">
        <v>7</v>
      </c>
      <c r="R3" s="150" t="s">
        <v>6</v>
      </c>
      <c r="S3" s="150" t="s">
        <v>7</v>
      </c>
      <c r="T3" s="150" t="s">
        <v>6</v>
      </c>
      <c r="U3" s="150" t="s">
        <v>7</v>
      </c>
      <c r="V3" s="150" t="s">
        <v>6</v>
      </c>
      <c r="W3" s="150" t="s">
        <v>7</v>
      </c>
    </row>
    <row r="4" spans="1:23" ht="51">
      <c r="A4" s="177" t="s">
        <v>16</v>
      </c>
      <c r="B4" s="178" t="s">
        <v>17</v>
      </c>
      <c r="C4" s="179" t="s">
        <v>18</v>
      </c>
      <c r="D4" s="180">
        <v>7</v>
      </c>
      <c r="E4" s="180">
        <v>6</v>
      </c>
      <c r="F4" s="180">
        <v>54</v>
      </c>
      <c r="G4" s="180">
        <v>100</v>
      </c>
      <c r="H4" s="180">
        <v>29</v>
      </c>
      <c r="I4" s="180">
        <v>42</v>
      </c>
      <c r="J4" s="180">
        <v>1</v>
      </c>
      <c r="K4" s="180">
        <v>9</v>
      </c>
      <c r="L4" s="180">
        <v>1</v>
      </c>
      <c r="M4" s="180">
        <v>1</v>
      </c>
      <c r="N4" s="180">
        <v>1</v>
      </c>
      <c r="O4" s="180">
        <v>1</v>
      </c>
      <c r="P4" s="180">
        <v>0</v>
      </c>
      <c r="Q4" s="180">
        <v>0</v>
      </c>
      <c r="R4" s="180">
        <v>6</v>
      </c>
      <c r="S4" s="180">
        <v>2</v>
      </c>
      <c r="T4" s="180">
        <v>3</v>
      </c>
      <c r="U4" s="180">
        <v>14</v>
      </c>
      <c r="V4" s="180">
        <v>0</v>
      </c>
      <c r="W4" s="180">
        <v>0</v>
      </c>
    </row>
    <row r="5" spans="1:23">
      <c r="A5" s="177" t="s">
        <v>16</v>
      </c>
      <c r="B5" s="178" t="s">
        <v>17</v>
      </c>
      <c r="C5" s="179" t="s">
        <v>19</v>
      </c>
      <c r="D5" s="180">
        <v>37</v>
      </c>
      <c r="E5" s="180">
        <v>26</v>
      </c>
      <c r="F5" s="180">
        <v>218</v>
      </c>
      <c r="G5" s="180">
        <v>312</v>
      </c>
      <c r="H5" s="180">
        <v>64</v>
      </c>
      <c r="I5" s="180">
        <v>106</v>
      </c>
      <c r="J5" s="180">
        <v>1494</v>
      </c>
      <c r="K5" s="180">
        <v>1680</v>
      </c>
      <c r="L5" s="180">
        <v>9</v>
      </c>
      <c r="M5" s="180">
        <v>14</v>
      </c>
      <c r="N5" s="180">
        <v>7</v>
      </c>
      <c r="O5" s="180">
        <v>8</v>
      </c>
      <c r="P5" s="180">
        <v>0</v>
      </c>
      <c r="Q5" s="180">
        <v>0</v>
      </c>
      <c r="R5" s="180">
        <v>23</v>
      </c>
      <c r="S5" s="180">
        <v>13</v>
      </c>
      <c r="T5" s="180">
        <v>19</v>
      </c>
      <c r="U5" s="180">
        <v>22</v>
      </c>
      <c r="V5" s="180">
        <v>5</v>
      </c>
      <c r="W5" s="180">
        <v>10</v>
      </c>
    </row>
    <row r="6" spans="1:23" ht="38.25">
      <c r="A6" s="177" t="s">
        <v>16</v>
      </c>
      <c r="B6" s="178" t="s">
        <v>17</v>
      </c>
      <c r="C6" s="179" t="s">
        <v>20</v>
      </c>
      <c r="D6" s="180">
        <v>24</v>
      </c>
      <c r="E6" s="180">
        <v>12</v>
      </c>
      <c r="F6" s="180">
        <v>195</v>
      </c>
      <c r="G6" s="180">
        <v>205</v>
      </c>
      <c r="H6" s="180">
        <v>63</v>
      </c>
      <c r="I6" s="180">
        <v>82</v>
      </c>
      <c r="J6" s="180">
        <v>455</v>
      </c>
      <c r="K6" s="180">
        <v>831</v>
      </c>
      <c r="L6" s="180">
        <v>5</v>
      </c>
      <c r="M6" s="180">
        <v>11</v>
      </c>
      <c r="N6" s="180">
        <v>3</v>
      </c>
      <c r="O6" s="180">
        <v>5</v>
      </c>
      <c r="P6" s="180">
        <v>0</v>
      </c>
      <c r="Q6" s="180">
        <v>0</v>
      </c>
      <c r="R6" s="180">
        <v>19</v>
      </c>
      <c r="S6" s="180">
        <v>19</v>
      </c>
      <c r="T6" s="180">
        <v>21</v>
      </c>
      <c r="U6" s="180">
        <v>19</v>
      </c>
      <c r="V6" s="180">
        <v>7</v>
      </c>
      <c r="W6" s="180">
        <v>19</v>
      </c>
    </row>
    <row r="7" spans="1:23">
      <c r="A7" s="177" t="s">
        <v>16</v>
      </c>
      <c r="B7" s="178" t="s">
        <v>21</v>
      </c>
      <c r="C7" s="179" t="s">
        <v>22</v>
      </c>
      <c r="D7" s="180">
        <v>140</v>
      </c>
      <c r="E7" s="180">
        <v>379</v>
      </c>
      <c r="F7" s="180">
        <v>491</v>
      </c>
      <c r="G7" s="180">
        <v>1454</v>
      </c>
      <c r="H7" s="180">
        <v>88</v>
      </c>
      <c r="I7" s="180">
        <v>198</v>
      </c>
      <c r="J7" s="180">
        <v>1212</v>
      </c>
      <c r="K7" s="180">
        <v>1509</v>
      </c>
      <c r="L7" s="180">
        <v>20</v>
      </c>
      <c r="M7" s="180">
        <v>67</v>
      </c>
      <c r="N7" s="180">
        <v>8</v>
      </c>
      <c r="O7" s="180">
        <v>5</v>
      </c>
      <c r="P7" s="180">
        <v>6</v>
      </c>
      <c r="Q7" s="180">
        <v>5</v>
      </c>
      <c r="R7" s="180">
        <v>38</v>
      </c>
      <c r="S7" s="180">
        <v>106</v>
      </c>
      <c r="T7" s="180">
        <v>75</v>
      </c>
      <c r="U7" s="180">
        <v>171</v>
      </c>
      <c r="V7" s="180">
        <v>19</v>
      </c>
      <c r="W7" s="180">
        <v>54</v>
      </c>
    </row>
    <row r="8" spans="1:23" ht="25.5">
      <c r="A8" s="177" t="s">
        <v>16</v>
      </c>
      <c r="B8" s="178" t="s">
        <v>23</v>
      </c>
      <c r="C8" s="179" t="s">
        <v>24</v>
      </c>
      <c r="D8" s="180">
        <v>12</v>
      </c>
      <c r="E8" s="180">
        <v>218</v>
      </c>
      <c r="F8" s="180">
        <v>40</v>
      </c>
      <c r="G8" s="180">
        <v>808</v>
      </c>
      <c r="H8" s="180">
        <v>6</v>
      </c>
      <c r="I8" s="180">
        <v>81</v>
      </c>
      <c r="J8" s="180">
        <v>67</v>
      </c>
      <c r="K8" s="180">
        <v>481</v>
      </c>
      <c r="L8" s="180">
        <v>0</v>
      </c>
      <c r="M8" s="180">
        <v>13</v>
      </c>
      <c r="N8" s="180">
        <v>1</v>
      </c>
      <c r="O8" s="180">
        <v>10</v>
      </c>
      <c r="P8" s="180">
        <v>0</v>
      </c>
      <c r="Q8" s="180">
        <v>0</v>
      </c>
      <c r="R8" s="180">
        <v>3</v>
      </c>
      <c r="S8" s="180">
        <v>153</v>
      </c>
      <c r="T8" s="180">
        <v>4</v>
      </c>
      <c r="U8" s="180">
        <v>89</v>
      </c>
      <c r="V8" s="180">
        <v>3</v>
      </c>
      <c r="W8" s="180">
        <v>9</v>
      </c>
    </row>
    <row r="9" spans="1:23" ht="25.5">
      <c r="A9" s="177" t="s">
        <v>16</v>
      </c>
      <c r="B9" s="178" t="s">
        <v>23</v>
      </c>
      <c r="C9" s="179" t="s">
        <v>25</v>
      </c>
      <c r="D9" s="180">
        <v>51</v>
      </c>
      <c r="E9" s="180">
        <v>253</v>
      </c>
      <c r="F9" s="180">
        <v>191</v>
      </c>
      <c r="G9" s="180">
        <v>876</v>
      </c>
      <c r="H9" s="180">
        <v>35</v>
      </c>
      <c r="I9" s="180">
        <v>71</v>
      </c>
      <c r="J9" s="180">
        <v>201</v>
      </c>
      <c r="K9" s="180">
        <v>384</v>
      </c>
      <c r="L9" s="180">
        <v>10</v>
      </c>
      <c r="M9" s="180">
        <v>15</v>
      </c>
      <c r="N9" s="180">
        <v>3</v>
      </c>
      <c r="O9" s="180">
        <v>5</v>
      </c>
      <c r="P9" s="180">
        <v>0</v>
      </c>
      <c r="Q9" s="180">
        <v>0</v>
      </c>
      <c r="R9" s="180">
        <v>27</v>
      </c>
      <c r="S9" s="180">
        <v>204</v>
      </c>
      <c r="T9" s="180">
        <v>20</v>
      </c>
      <c r="U9" s="180">
        <v>72</v>
      </c>
      <c r="V9" s="180">
        <v>6</v>
      </c>
      <c r="W9" s="180">
        <v>15</v>
      </c>
    </row>
    <row r="10" spans="1:23" ht="38.25">
      <c r="A10" s="177" t="s">
        <v>16</v>
      </c>
      <c r="B10" s="178" t="s">
        <v>26</v>
      </c>
      <c r="C10" s="179" t="s">
        <v>27</v>
      </c>
      <c r="D10" s="180">
        <v>139</v>
      </c>
      <c r="E10" s="180">
        <v>112</v>
      </c>
      <c r="F10" s="180">
        <v>523</v>
      </c>
      <c r="G10" s="180">
        <v>443</v>
      </c>
      <c r="H10" s="180">
        <v>100</v>
      </c>
      <c r="I10" s="180">
        <v>33</v>
      </c>
      <c r="J10" s="180">
        <v>916</v>
      </c>
      <c r="K10" s="180">
        <v>399</v>
      </c>
      <c r="L10" s="180">
        <v>15</v>
      </c>
      <c r="M10" s="180">
        <v>14</v>
      </c>
      <c r="N10" s="180">
        <v>7</v>
      </c>
      <c r="O10" s="180">
        <v>4</v>
      </c>
      <c r="P10" s="180">
        <v>0</v>
      </c>
      <c r="Q10" s="180">
        <v>0</v>
      </c>
      <c r="R10" s="180">
        <v>35</v>
      </c>
      <c r="S10" s="180">
        <v>62</v>
      </c>
      <c r="T10" s="180">
        <v>55</v>
      </c>
      <c r="U10" s="180">
        <v>36</v>
      </c>
      <c r="V10" s="180">
        <v>26</v>
      </c>
      <c r="W10" s="180">
        <v>10</v>
      </c>
    </row>
    <row r="11" spans="1:23" ht="38.25">
      <c r="A11" s="177" t="s">
        <v>16</v>
      </c>
      <c r="B11" s="178" t="s">
        <v>26</v>
      </c>
      <c r="C11" s="179" t="s">
        <v>28</v>
      </c>
      <c r="D11" s="180">
        <v>85</v>
      </c>
      <c r="E11" s="180">
        <v>54</v>
      </c>
      <c r="F11" s="180">
        <v>272</v>
      </c>
      <c r="G11" s="180">
        <v>177</v>
      </c>
      <c r="H11" s="180">
        <v>35</v>
      </c>
      <c r="I11" s="180">
        <v>14</v>
      </c>
      <c r="J11" s="180">
        <v>303</v>
      </c>
      <c r="K11" s="180">
        <v>86</v>
      </c>
      <c r="L11" s="180">
        <v>38</v>
      </c>
      <c r="M11" s="180">
        <v>21</v>
      </c>
      <c r="N11" s="180">
        <v>7</v>
      </c>
      <c r="O11" s="180">
        <v>2</v>
      </c>
      <c r="P11" s="180">
        <v>0</v>
      </c>
      <c r="Q11" s="180">
        <v>0</v>
      </c>
      <c r="R11" s="180">
        <v>27</v>
      </c>
      <c r="S11" s="180">
        <v>19</v>
      </c>
      <c r="T11" s="180">
        <v>31</v>
      </c>
      <c r="U11" s="180">
        <v>19</v>
      </c>
      <c r="V11" s="180">
        <v>12</v>
      </c>
      <c r="W11" s="180">
        <v>10</v>
      </c>
    </row>
    <row r="12" spans="1:23" ht="25.5">
      <c r="A12" s="177" t="s">
        <v>16</v>
      </c>
      <c r="B12" s="178" t="s">
        <v>29</v>
      </c>
      <c r="C12" s="179" t="s">
        <v>30</v>
      </c>
      <c r="D12" s="180">
        <v>47</v>
      </c>
      <c r="E12" s="180">
        <v>98</v>
      </c>
      <c r="F12" s="180">
        <v>143</v>
      </c>
      <c r="G12" s="180">
        <v>345</v>
      </c>
      <c r="H12" s="180">
        <v>24</v>
      </c>
      <c r="I12" s="180">
        <v>47</v>
      </c>
      <c r="J12" s="180">
        <v>190</v>
      </c>
      <c r="K12" s="180">
        <v>238</v>
      </c>
      <c r="L12" s="180">
        <v>19</v>
      </c>
      <c r="M12" s="180">
        <v>25</v>
      </c>
      <c r="N12" s="180">
        <v>2</v>
      </c>
      <c r="O12" s="180">
        <v>10</v>
      </c>
      <c r="P12" s="180">
        <v>0</v>
      </c>
      <c r="Q12" s="180">
        <v>3</v>
      </c>
      <c r="R12" s="180">
        <v>7</v>
      </c>
      <c r="S12" s="180">
        <v>28</v>
      </c>
      <c r="T12" s="180">
        <v>25</v>
      </c>
      <c r="U12" s="180">
        <v>55</v>
      </c>
      <c r="V12" s="180">
        <v>4</v>
      </c>
      <c r="W12" s="180">
        <v>10</v>
      </c>
    </row>
    <row r="13" spans="1:23" ht="25.5">
      <c r="A13" s="177" t="s">
        <v>16</v>
      </c>
      <c r="B13" s="178" t="s">
        <v>29</v>
      </c>
      <c r="C13" s="179" t="s">
        <v>31</v>
      </c>
      <c r="D13" s="180">
        <v>43</v>
      </c>
      <c r="E13" s="180">
        <v>40</v>
      </c>
      <c r="F13" s="180">
        <v>207</v>
      </c>
      <c r="G13" s="180">
        <v>217</v>
      </c>
      <c r="H13" s="180">
        <v>67</v>
      </c>
      <c r="I13" s="180">
        <v>70</v>
      </c>
      <c r="J13" s="180">
        <v>583</v>
      </c>
      <c r="K13" s="180">
        <v>327</v>
      </c>
      <c r="L13" s="180">
        <v>9</v>
      </c>
      <c r="M13" s="180">
        <v>7</v>
      </c>
      <c r="N13" s="180">
        <v>0</v>
      </c>
      <c r="O13" s="180">
        <v>1</v>
      </c>
      <c r="P13" s="180">
        <v>0</v>
      </c>
      <c r="Q13" s="180">
        <v>0</v>
      </c>
      <c r="R13" s="180">
        <v>3</v>
      </c>
      <c r="S13" s="180">
        <v>8</v>
      </c>
      <c r="T13" s="180">
        <v>17</v>
      </c>
      <c r="U13" s="180">
        <v>24</v>
      </c>
      <c r="V13" s="180">
        <v>15</v>
      </c>
      <c r="W13" s="180">
        <v>17</v>
      </c>
    </row>
    <row r="14" spans="1:23" ht="25.5">
      <c r="A14" s="177" t="s">
        <v>16</v>
      </c>
      <c r="B14" s="178" t="s">
        <v>29</v>
      </c>
      <c r="C14" s="179" t="s">
        <v>32</v>
      </c>
      <c r="D14" s="180">
        <v>50</v>
      </c>
      <c r="E14" s="180">
        <v>73</v>
      </c>
      <c r="F14" s="180">
        <v>361</v>
      </c>
      <c r="G14" s="180">
        <v>371</v>
      </c>
      <c r="H14" s="180">
        <v>168</v>
      </c>
      <c r="I14" s="180">
        <v>134</v>
      </c>
      <c r="J14" s="180">
        <v>1119</v>
      </c>
      <c r="K14" s="180">
        <v>600</v>
      </c>
      <c r="L14" s="180">
        <v>15</v>
      </c>
      <c r="M14" s="180">
        <v>4</v>
      </c>
      <c r="N14" s="180">
        <v>4</v>
      </c>
      <c r="O14" s="180">
        <v>3</v>
      </c>
      <c r="P14" s="180">
        <v>0</v>
      </c>
      <c r="Q14" s="180">
        <v>0</v>
      </c>
      <c r="R14" s="180">
        <v>11</v>
      </c>
      <c r="S14" s="180">
        <v>4</v>
      </c>
      <c r="T14" s="180">
        <v>30</v>
      </c>
      <c r="U14" s="180">
        <v>40</v>
      </c>
      <c r="V14" s="180">
        <v>28</v>
      </c>
      <c r="W14" s="180">
        <v>21</v>
      </c>
    </row>
    <row r="15" spans="1:23" ht="25.5">
      <c r="A15" s="177" t="s">
        <v>16</v>
      </c>
      <c r="B15" s="178" t="s">
        <v>29</v>
      </c>
      <c r="C15" s="179" t="s">
        <v>33</v>
      </c>
      <c r="D15" s="180">
        <v>171</v>
      </c>
      <c r="E15" s="180">
        <v>55</v>
      </c>
      <c r="F15" s="180">
        <v>673</v>
      </c>
      <c r="G15" s="180">
        <v>219</v>
      </c>
      <c r="H15" s="180">
        <v>231</v>
      </c>
      <c r="I15" s="180">
        <v>44</v>
      </c>
      <c r="J15" s="180">
        <v>528</v>
      </c>
      <c r="K15" s="180">
        <v>98</v>
      </c>
      <c r="L15" s="180">
        <v>16</v>
      </c>
      <c r="M15" s="180">
        <v>8</v>
      </c>
      <c r="N15" s="180">
        <v>8</v>
      </c>
      <c r="O15" s="180">
        <v>3</v>
      </c>
      <c r="P15" s="180">
        <v>4</v>
      </c>
      <c r="Q15" s="180">
        <v>0</v>
      </c>
      <c r="R15" s="180">
        <v>24</v>
      </c>
      <c r="S15" s="180">
        <v>7</v>
      </c>
      <c r="T15" s="180">
        <v>52</v>
      </c>
      <c r="U15" s="180">
        <v>19</v>
      </c>
      <c r="V15" s="180">
        <v>32</v>
      </c>
      <c r="W15" s="180">
        <v>2</v>
      </c>
    </row>
    <row r="16" spans="1:23" ht="25.5">
      <c r="A16" s="177" t="s">
        <v>16</v>
      </c>
      <c r="B16" s="178" t="s">
        <v>29</v>
      </c>
      <c r="C16" s="179" t="s">
        <v>34</v>
      </c>
      <c r="D16" s="180">
        <v>98</v>
      </c>
      <c r="E16" s="180">
        <v>57</v>
      </c>
      <c r="F16" s="180">
        <v>480</v>
      </c>
      <c r="G16" s="180">
        <v>310</v>
      </c>
      <c r="H16" s="180">
        <v>149</v>
      </c>
      <c r="I16" s="180">
        <v>79</v>
      </c>
      <c r="J16" s="180">
        <v>1154</v>
      </c>
      <c r="K16" s="180">
        <v>411</v>
      </c>
      <c r="L16" s="180">
        <v>19</v>
      </c>
      <c r="M16" s="180">
        <v>14</v>
      </c>
      <c r="N16" s="180">
        <v>3</v>
      </c>
      <c r="O16" s="180">
        <v>1</v>
      </c>
      <c r="P16" s="180">
        <v>0</v>
      </c>
      <c r="Q16" s="180">
        <v>0</v>
      </c>
      <c r="R16" s="180">
        <v>11</v>
      </c>
      <c r="S16" s="180">
        <v>4</v>
      </c>
      <c r="T16" s="180">
        <v>45</v>
      </c>
      <c r="U16" s="180">
        <v>49</v>
      </c>
      <c r="V16" s="180">
        <v>29</v>
      </c>
      <c r="W16" s="180">
        <v>15</v>
      </c>
    </row>
    <row r="17" spans="1:23" ht="25.5">
      <c r="A17" s="177" t="s">
        <v>16</v>
      </c>
      <c r="B17" s="178" t="s">
        <v>29</v>
      </c>
      <c r="C17" s="179" t="s">
        <v>35</v>
      </c>
      <c r="D17" s="180">
        <v>71</v>
      </c>
      <c r="E17" s="180">
        <v>151</v>
      </c>
      <c r="F17" s="180">
        <v>251</v>
      </c>
      <c r="G17" s="180">
        <v>552</v>
      </c>
      <c r="H17" s="180">
        <v>39</v>
      </c>
      <c r="I17" s="180">
        <v>59</v>
      </c>
      <c r="J17" s="180">
        <v>385</v>
      </c>
      <c r="K17" s="180">
        <v>340</v>
      </c>
      <c r="L17" s="180">
        <v>22</v>
      </c>
      <c r="M17" s="180">
        <v>34</v>
      </c>
      <c r="N17" s="180">
        <v>4</v>
      </c>
      <c r="O17" s="180">
        <v>6</v>
      </c>
      <c r="P17" s="180">
        <v>0</v>
      </c>
      <c r="Q17" s="180">
        <v>0</v>
      </c>
      <c r="R17" s="180">
        <v>10</v>
      </c>
      <c r="S17" s="180">
        <v>39</v>
      </c>
      <c r="T17" s="180">
        <v>20</v>
      </c>
      <c r="U17" s="180">
        <v>62</v>
      </c>
      <c r="V17" s="180">
        <v>7</v>
      </c>
      <c r="W17" s="180">
        <v>15</v>
      </c>
    </row>
    <row r="18" spans="1:23" ht="38.25">
      <c r="A18" s="177" t="s">
        <v>16</v>
      </c>
      <c r="B18" s="178" t="s">
        <v>36</v>
      </c>
      <c r="C18" s="179" t="s">
        <v>37</v>
      </c>
      <c r="D18" s="180">
        <v>29</v>
      </c>
      <c r="E18" s="180">
        <v>113</v>
      </c>
      <c r="F18" s="180">
        <v>152</v>
      </c>
      <c r="G18" s="180">
        <v>398</v>
      </c>
      <c r="H18" s="180">
        <v>39</v>
      </c>
      <c r="I18" s="180">
        <v>82</v>
      </c>
      <c r="J18" s="180">
        <v>113</v>
      </c>
      <c r="K18" s="180">
        <v>208</v>
      </c>
      <c r="L18" s="180">
        <v>10</v>
      </c>
      <c r="M18" s="180">
        <v>11</v>
      </c>
      <c r="N18" s="180">
        <v>3</v>
      </c>
      <c r="O18" s="180">
        <v>3</v>
      </c>
      <c r="P18" s="180">
        <v>0</v>
      </c>
      <c r="Q18" s="180">
        <v>5</v>
      </c>
      <c r="R18" s="180">
        <v>6</v>
      </c>
      <c r="S18" s="180">
        <v>5</v>
      </c>
      <c r="T18" s="180">
        <v>16</v>
      </c>
      <c r="U18" s="180">
        <v>63</v>
      </c>
      <c r="V18" s="180">
        <v>2</v>
      </c>
      <c r="W18" s="180">
        <v>15</v>
      </c>
    </row>
    <row r="19" spans="1:23" ht="38.25">
      <c r="A19" s="177" t="s">
        <v>16</v>
      </c>
      <c r="B19" s="178" t="s">
        <v>36</v>
      </c>
      <c r="C19" s="179" t="s">
        <v>38</v>
      </c>
      <c r="D19" s="180">
        <v>277</v>
      </c>
      <c r="E19" s="180">
        <v>226</v>
      </c>
      <c r="F19" s="180">
        <v>1068</v>
      </c>
      <c r="G19" s="180">
        <v>876</v>
      </c>
      <c r="H19" s="180">
        <v>211</v>
      </c>
      <c r="I19" s="180">
        <v>101</v>
      </c>
      <c r="J19" s="180">
        <v>1580</v>
      </c>
      <c r="K19" s="180">
        <v>1237</v>
      </c>
      <c r="L19" s="180">
        <v>31</v>
      </c>
      <c r="M19" s="180">
        <v>27</v>
      </c>
      <c r="N19" s="180">
        <v>20</v>
      </c>
      <c r="O19" s="180">
        <v>4</v>
      </c>
      <c r="P19" s="180">
        <v>0</v>
      </c>
      <c r="Q19" s="180">
        <v>0</v>
      </c>
      <c r="R19" s="180">
        <v>45</v>
      </c>
      <c r="S19" s="180">
        <v>60</v>
      </c>
      <c r="T19" s="180">
        <v>99</v>
      </c>
      <c r="U19" s="180">
        <v>73</v>
      </c>
      <c r="V19" s="180">
        <v>18</v>
      </c>
      <c r="W19" s="180">
        <v>18</v>
      </c>
    </row>
    <row r="20" spans="1:23" ht="38.25">
      <c r="A20" s="177" t="s">
        <v>16</v>
      </c>
      <c r="B20" s="178" t="s">
        <v>36</v>
      </c>
      <c r="C20" s="179" t="s">
        <v>39</v>
      </c>
      <c r="D20" s="180">
        <v>58</v>
      </c>
      <c r="E20" s="180">
        <v>121</v>
      </c>
      <c r="F20" s="180">
        <v>217</v>
      </c>
      <c r="G20" s="180">
        <v>431</v>
      </c>
      <c r="H20" s="180">
        <v>56</v>
      </c>
      <c r="I20" s="180">
        <v>95</v>
      </c>
      <c r="J20" s="180">
        <v>216</v>
      </c>
      <c r="K20" s="180">
        <v>271</v>
      </c>
      <c r="L20" s="180">
        <v>12</v>
      </c>
      <c r="M20" s="180">
        <v>23</v>
      </c>
      <c r="N20" s="180">
        <v>1</v>
      </c>
      <c r="O20" s="180">
        <v>3</v>
      </c>
      <c r="P20" s="180">
        <v>0</v>
      </c>
      <c r="Q20" s="180">
        <v>0</v>
      </c>
      <c r="R20" s="180">
        <v>11</v>
      </c>
      <c r="S20" s="180">
        <v>21</v>
      </c>
      <c r="T20" s="180">
        <v>28</v>
      </c>
      <c r="U20" s="180">
        <v>67</v>
      </c>
      <c r="V20" s="180">
        <v>7</v>
      </c>
      <c r="W20" s="180">
        <v>22</v>
      </c>
    </row>
    <row r="21" spans="1:23" ht="25.5">
      <c r="A21" s="177" t="s">
        <v>16</v>
      </c>
      <c r="B21" s="178" t="s">
        <v>40</v>
      </c>
      <c r="C21" s="179" t="s">
        <v>41</v>
      </c>
      <c r="D21" s="180">
        <v>27</v>
      </c>
      <c r="E21" s="180">
        <v>174</v>
      </c>
      <c r="F21" s="180">
        <v>104</v>
      </c>
      <c r="G21" s="180">
        <v>678</v>
      </c>
      <c r="H21" s="180">
        <v>27</v>
      </c>
      <c r="I21" s="180">
        <v>60</v>
      </c>
      <c r="J21" s="180">
        <v>159</v>
      </c>
      <c r="K21" s="180">
        <v>616</v>
      </c>
      <c r="L21" s="180">
        <v>4</v>
      </c>
      <c r="M21" s="180">
        <v>23</v>
      </c>
      <c r="N21" s="180">
        <v>0</v>
      </c>
      <c r="O21" s="180">
        <v>5</v>
      </c>
      <c r="P21" s="180">
        <v>0</v>
      </c>
      <c r="Q21" s="180">
        <v>1</v>
      </c>
      <c r="R21" s="180">
        <v>11</v>
      </c>
      <c r="S21" s="180">
        <v>94</v>
      </c>
      <c r="T21" s="180">
        <v>11</v>
      </c>
      <c r="U21" s="180">
        <v>81</v>
      </c>
      <c r="V21" s="180">
        <v>2</v>
      </c>
      <c r="W21" s="180">
        <v>6</v>
      </c>
    </row>
    <row r="22" spans="1:23" ht="25.5">
      <c r="A22" s="177" t="s">
        <v>16</v>
      </c>
      <c r="B22" s="178" t="s">
        <v>40</v>
      </c>
      <c r="C22" s="179" t="s">
        <v>42</v>
      </c>
      <c r="D22" s="180">
        <v>1</v>
      </c>
      <c r="E22" s="180">
        <v>21</v>
      </c>
      <c r="F22" s="180">
        <v>28</v>
      </c>
      <c r="G22" s="180">
        <v>139</v>
      </c>
      <c r="H22" s="180">
        <v>16</v>
      </c>
      <c r="I22" s="180">
        <v>64</v>
      </c>
      <c r="J22" s="180">
        <v>61</v>
      </c>
      <c r="K22" s="180">
        <v>398</v>
      </c>
      <c r="L22" s="180">
        <v>3</v>
      </c>
      <c r="M22" s="180">
        <v>7</v>
      </c>
      <c r="N22" s="180">
        <v>0</v>
      </c>
      <c r="O22" s="180">
        <v>1</v>
      </c>
      <c r="P22" s="180">
        <v>0</v>
      </c>
      <c r="Q22" s="180">
        <v>0</v>
      </c>
      <c r="R22" s="180">
        <v>1</v>
      </c>
      <c r="S22" s="180">
        <v>9</v>
      </c>
      <c r="T22" s="180">
        <v>2</v>
      </c>
      <c r="U22" s="180">
        <v>30</v>
      </c>
      <c r="V22" s="180">
        <v>0</v>
      </c>
      <c r="W22" s="180">
        <v>18</v>
      </c>
    </row>
    <row r="23" spans="1:23" ht="25.5">
      <c r="A23" s="177" t="s">
        <v>16</v>
      </c>
      <c r="B23" s="178" t="s">
        <v>40</v>
      </c>
      <c r="C23" s="179" t="s">
        <v>43</v>
      </c>
      <c r="D23" s="180">
        <v>20</v>
      </c>
      <c r="E23" s="180">
        <v>46</v>
      </c>
      <c r="F23" s="180">
        <v>74</v>
      </c>
      <c r="G23" s="180">
        <v>302</v>
      </c>
      <c r="H23" s="180">
        <v>28</v>
      </c>
      <c r="I23" s="180">
        <v>101</v>
      </c>
      <c r="J23" s="180">
        <v>162</v>
      </c>
      <c r="K23" s="180">
        <v>506</v>
      </c>
      <c r="L23" s="180">
        <v>2</v>
      </c>
      <c r="M23" s="180">
        <v>9</v>
      </c>
      <c r="N23" s="180">
        <v>2</v>
      </c>
      <c r="O23" s="180">
        <v>3</v>
      </c>
      <c r="P23" s="180">
        <v>0</v>
      </c>
      <c r="Q23" s="180">
        <v>0</v>
      </c>
      <c r="R23" s="180">
        <v>2</v>
      </c>
      <c r="S23" s="180">
        <v>31</v>
      </c>
      <c r="T23" s="180">
        <v>6</v>
      </c>
      <c r="U23" s="180">
        <v>60</v>
      </c>
      <c r="V23" s="180">
        <v>2</v>
      </c>
      <c r="W23" s="180">
        <v>15</v>
      </c>
    </row>
    <row r="24" spans="1:23" ht="25.5">
      <c r="A24" s="177" t="s">
        <v>16</v>
      </c>
      <c r="B24" s="178" t="s">
        <v>40</v>
      </c>
      <c r="C24" s="179" t="s">
        <v>44</v>
      </c>
      <c r="D24" s="180">
        <v>59</v>
      </c>
      <c r="E24" s="180">
        <v>72</v>
      </c>
      <c r="F24" s="180">
        <v>295</v>
      </c>
      <c r="G24" s="180">
        <v>440</v>
      </c>
      <c r="H24" s="180">
        <v>69</v>
      </c>
      <c r="I24" s="180">
        <v>128</v>
      </c>
      <c r="J24" s="180">
        <v>313</v>
      </c>
      <c r="K24" s="180">
        <v>591</v>
      </c>
      <c r="L24" s="180">
        <v>4</v>
      </c>
      <c r="M24" s="180">
        <v>16</v>
      </c>
      <c r="N24" s="180">
        <v>3</v>
      </c>
      <c r="O24" s="180">
        <v>3</v>
      </c>
      <c r="P24" s="180">
        <v>0</v>
      </c>
      <c r="Q24" s="180">
        <v>0</v>
      </c>
      <c r="R24" s="180">
        <v>19</v>
      </c>
      <c r="S24" s="180">
        <v>25</v>
      </c>
      <c r="T24" s="180">
        <v>26</v>
      </c>
      <c r="U24" s="180">
        <v>110</v>
      </c>
      <c r="V24" s="180">
        <v>8</v>
      </c>
      <c r="W24" s="180">
        <v>22</v>
      </c>
    </row>
    <row r="25" spans="1:23" ht="25.5">
      <c r="A25" s="177" t="s">
        <v>16</v>
      </c>
      <c r="B25" s="178" t="s">
        <v>40</v>
      </c>
      <c r="C25" s="179" t="s">
        <v>45</v>
      </c>
      <c r="D25" s="180">
        <v>2</v>
      </c>
      <c r="E25" s="180">
        <v>10</v>
      </c>
      <c r="F25" s="180">
        <v>41</v>
      </c>
      <c r="G25" s="180">
        <v>170</v>
      </c>
      <c r="H25" s="180">
        <v>18</v>
      </c>
      <c r="I25" s="180">
        <v>79</v>
      </c>
      <c r="J25" s="180">
        <v>127</v>
      </c>
      <c r="K25" s="180">
        <v>485</v>
      </c>
      <c r="L25" s="180">
        <v>1</v>
      </c>
      <c r="M25" s="180">
        <v>3</v>
      </c>
      <c r="N25" s="180">
        <v>2</v>
      </c>
      <c r="O25" s="180">
        <v>4</v>
      </c>
      <c r="P25" s="180">
        <v>0</v>
      </c>
      <c r="Q25" s="180">
        <v>0</v>
      </c>
      <c r="R25" s="180">
        <v>3</v>
      </c>
      <c r="S25" s="180">
        <v>11</v>
      </c>
      <c r="T25" s="180">
        <v>3</v>
      </c>
      <c r="U25" s="180">
        <v>18</v>
      </c>
      <c r="V25" s="180">
        <v>1</v>
      </c>
      <c r="W25" s="180">
        <v>6</v>
      </c>
    </row>
    <row r="26" spans="1:23">
      <c r="A26" s="177" t="s">
        <v>16</v>
      </c>
      <c r="B26" s="178" t="s">
        <v>40</v>
      </c>
      <c r="C26" s="179" t="s">
        <v>46</v>
      </c>
      <c r="D26" s="180">
        <v>27</v>
      </c>
      <c r="E26" s="180">
        <v>99</v>
      </c>
      <c r="F26" s="180">
        <v>159</v>
      </c>
      <c r="G26" s="180">
        <v>677</v>
      </c>
      <c r="H26" s="180">
        <v>41</v>
      </c>
      <c r="I26" s="180">
        <v>138</v>
      </c>
      <c r="J26" s="180">
        <v>202</v>
      </c>
      <c r="K26" s="180">
        <v>606</v>
      </c>
      <c r="L26" s="180">
        <v>6</v>
      </c>
      <c r="M26" s="180">
        <v>24</v>
      </c>
      <c r="N26" s="180">
        <v>0</v>
      </c>
      <c r="O26" s="180">
        <v>3</v>
      </c>
      <c r="P26" s="180">
        <v>0</v>
      </c>
      <c r="Q26" s="180">
        <v>0</v>
      </c>
      <c r="R26" s="180">
        <v>7</v>
      </c>
      <c r="S26" s="180">
        <v>33</v>
      </c>
      <c r="T26" s="180">
        <v>14</v>
      </c>
      <c r="U26" s="180">
        <v>110</v>
      </c>
      <c r="V26" s="180">
        <v>5</v>
      </c>
      <c r="W26" s="180">
        <v>38</v>
      </c>
    </row>
    <row r="27" spans="1:23" ht="25.5">
      <c r="A27" s="177" t="s">
        <v>16</v>
      </c>
      <c r="B27" s="178" t="s">
        <v>40</v>
      </c>
      <c r="C27" s="179" t="s">
        <v>47</v>
      </c>
      <c r="D27" s="180">
        <v>15</v>
      </c>
      <c r="E27" s="180">
        <v>62</v>
      </c>
      <c r="F27" s="180">
        <v>148</v>
      </c>
      <c r="G27" s="180">
        <v>459</v>
      </c>
      <c r="H27" s="180">
        <v>33</v>
      </c>
      <c r="I27" s="180">
        <v>65</v>
      </c>
      <c r="J27" s="180">
        <v>124</v>
      </c>
      <c r="K27" s="180">
        <v>278</v>
      </c>
      <c r="L27" s="180">
        <v>3</v>
      </c>
      <c r="M27" s="180">
        <v>12</v>
      </c>
      <c r="N27" s="180">
        <v>4</v>
      </c>
      <c r="O27" s="180">
        <v>11</v>
      </c>
      <c r="P27" s="180">
        <v>0</v>
      </c>
      <c r="Q27" s="180">
        <v>0</v>
      </c>
      <c r="R27" s="180">
        <v>15</v>
      </c>
      <c r="S27" s="180">
        <v>78</v>
      </c>
      <c r="T27" s="180">
        <v>14</v>
      </c>
      <c r="U27" s="180">
        <v>66</v>
      </c>
      <c r="V27" s="180">
        <v>1</v>
      </c>
      <c r="W27" s="180">
        <v>12</v>
      </c>
    </row>
    <row r="28" spans="1:23">
      <c r="A28" s="177" t="s">
        <v>16</v>
      </c>
      <c r="B28" s="178" t="s">
        <v>40</v>
      </c>
      <c r="C28" s="179" t="s">
        <v>48</v>
      </c>
      <c r="D28" s="180">
        <v>31</v>
      </c>
      <c r="E28" s="180">
        <v>264</v>
      </c>
      <c r="F28" s="180">
        <v>110</v>
      </c>
      <c r="G28" s="180">
        <v>927</v>
      </c>
      <c r="H28" s="180">
        <v>12</v>
      </c>
      <c r="I28" s="180">
        <v>53</v>
      </c>
      <c r="J28" s="180">
        <v>93</v>
      </c>
      <c r="K28" s="180">
        <v>323</v>
      </c>
      <c r="L28" s="180">
        <v>4</v>
      </c>
      <c r="M28" s="180">
        <v>2</v>
      </c>
      <c r="N28" s="180">
        <v>0</v>
      </c>
      <c r="O28" s="180">
        <v>4</v>
      </c>
      <c r="P28" s="180">
        <v>0</v>
      </c>
      <c r="Q28" s="180">
        <v>0</v>
      </c>
      <c r="R28" s="180">
        <v>12</v>
      </c>
      <c r="S28" s="180">
        <v>154</v>
      </c>
      <c r="T28" s="180">
        <v>15</v>
      </c>
      <c r="U28" s="180">
        <v>100</v>
      </c>
      <c r="V28" s="180">
        <v>1</v>
      </c>
      <c r="W28" s="180">
        <v>10</v>
      </c>
    </row>
    <row r="29" spans="1:23" ht="25.5">
      <c r="A29" s="177" t="s">
        <v>16</v>
      </c>
      <c r="B29" s="178" t="s">
        <v>49</v>
      </c>
      <c r="C29" s="179" t="s">
        <v>50</v>
      </c>
      <c r="D29" s="180">
        <v>64</v>
      </c>
      <c r="E29" s="180">
        <v>22</v>
      </c>
      <c r="F29" s="180">
        <v>253</v>
      </c>
      <c r="G29" s="180">
        <v>154</v>
      </c>
      <c r="H29" s="180">
        <v>79</v>
      </c>
      <c r="I29" s="180">
        <v>46</v>
      </c>
      <c r="J29" s="180">
        <v>286</v>
      </c>
      <c r="K29" s="180">
        <v>97</v>
      </c>
      <c r="L29" s="180">
        <v>16</v>
      </c>
      <c r="M29" s="180">
        <v>6</v>
      </c>
      <c r="N29" s="180">
        <v>7</v>
      </c>
      <c r="O29" s="180">
        <v>1</v>
      </c>
      <c r="P29" s="180">
        <v>0</v>
      </c>
      <c r="Q29" s="180">
        <v>0</v>
      </c>
      <c r="R29" s="180">
        <v>3</v>
      </c>
      <c r="S29" s="180">
        <v>4</v>
      </c>
      <c r="T29" s="180">
        <v>32</v>
      </c>
      <c r="U29" s="180">
        <v>29</v>
      </c>
      <c r="V29" s="180">
        <v>9</v>
      </c>
      <c r="W29" s="180">
        <v>1</v>
      </c>
    </row>
    <row r="30" spans="1:23" ht="25.5">
      <c r="A30" s="177" t="s">
        <v>16</v>
      </c>
      <c r="B30" s="178" t="s">
        <v>49</v>
      </c>
      <c r="C30" s="179" t="s">
        <v>51</v>
      </c>
      <c r="D30" s="180">
        <v>26</v>
      </c>
      <c r="E30" s="180">
        <v>122</v>
      </c>
      <c r="F30" s="180">
        <v>177</v>
      </c>
      <c r="G30" s="180">
        <v>585</v>
      </c>
      <c r="H30" s="180">
        <v>52</v>
      </c>
      <c r="I30" s="180">
        <v>165</v>
      </c>
      <c r="J30" s="180">
        <v>185</v>
      </c>
      <c r="K30" s="180">
        <v>177</v>
      </c>
      <c r="L30" s="180">
        <v>4</v>
      </c>
      <c r="M30" s="180">
        <v>6</v>
      </c>
      <c r="N30" s="180">
        <v>3</v>
      </c>
      <c r="O30" s="180">
        <v>6</v>
      </c>
      <c r="P30" s="180">
        <v>0</v>
      </c>
      <c r="Q30" s="180">
        <v>0</v>
      </c>
      <c r="R30" s="180">
        <v>0</v>
      </c>
      <c r="S30" s="180">
        <v>3</v>
      </c>
      <c r="T30" s="180">
        <v>36</v>
      </c>
      <c r="U30" s="180">
        <v>110</v>
      </c>
      <c r="V30" s="180">
        <v>5</v>
      </c>
      <c r="W30" s="180">
        <v>11</v>
      </c>
    </row>
    <row r="31" spans="1:23" ht="38.25">
      <c r="A31" s="177" t="s">
        <v>16</v>
      </c>
      <c r="B31" s="178" t="s">
        <v>49</v>
      </c>
      <c r="C31" s="179" t="s">
        <v>52</v>
      </c>
      <c r="D31" s="180">
        <v>211</v>
      </c>
      <c r="E31" s="180">
        <v>71</v>
      </c>
      <c r="F31" s="180">
        <v>1069</v>
      </c>
      <c r="G31" s="180">
        <v>312</v>
      </c>
      <c r="H31" s="180">
        <v>303</v>
      </c>
      <c r="I31" s="180">
        <v>42</v>
      </c>
      <c r="J31" s="180">
        <v>967</v>
      </c>
      <c r="K31" s="180">
        <v>153</v>
      </c>
      <c r="L31" s="180">
        <v>35</v>
      </c>
      <c r="M31" s="180">
        <v>5</v>
      </c>
      <c r="N31" s="180">
        <v>13</v>
      </c>
      <c r="O31" s="180">
        <v>0</v>
      </c>
      <c r="P31" s="180">
        <v>5</v>
      </c>
      <c r="Q31" s="180">
        <v>0</v>
      </c>
      <c r="R31" s="180">
        <v>46</v>
      </c>
      <c r="S31" s="180">
        <v>16</v>
      </c>
      <c r="T31" s="180">
        <v>121</v>
      </c>
      <c r="U31" s="180">
        <v>35</v>
      </c>
      <c r="V31" s="180">
        <v>38</v>
      </c>
      <c r="W31" s="180">
        <v>7</v>
      </c>
    </row>
    <row r="32" spans="1:23" ht="25.5">
      <c r="A32" s="177" t="s">
        <v>16</v>
      </c>
      <c r="B32" s="178" t="s">
        <v>49</v>
      </c>
      <c r="C32" s="179" t="s">
        <v>53</v>
      </c>
      <c r="D32" s="180">
        <v>56</v>
      </c>
      <c r="E32" s="180">
        <v>47</v>
      </c>
      <c r="F32" s="180">
        <v>258</v>
      </c>
      <c r="G32" s="180">
        <v>217</v>
      </c>
      <c r="H32" s="180">
        <v>77</v>
      </c>
      <c r="I32" s="180">
        <v>35</v>
      </c>
      <c r="J32" s="180">
        <v>110</v>
      </c>
      <c r="K32" s="180">
        <v>78</v>
      </c>
      <c r="L32" s="180">
        <v>9</v>
      </c>
      <c r="M32" s="180">
        <v>4</v>
      </c>
      <c r="N32" s="180">
        <v>7</v>
      </c>
      <c r="O32" s="180">
        <v>3</v>
      </c>
      <c r="P32" s="180">
        <v>0</v>
      </c>
      <c r="Q32" s="180">
        <v>0</v>
      </c>
      <c r="R32" s="180">
        <v>12</v>
      </c>
      <c r="S32" s="180">
        <v>20</v>
      </c>
      <c r="T32" s="180">
        <v>25</v>
      </c>
      <c r="U32" s="180">
        <v>18</v>
      </c>
      <c r="V32" s="180">
        <v>6</v>
      </c>
      <c r="W32" s="180">
        <v>2</v>
      </c>
    </row>
    <row r="33" spans="1:23" ht="25.5">
      <c r="A33" s="177" t="s">
        <v>16</v>
      </c>
      <c r="B33" s="178" t="s">
        <v>49</v>
      </c>
      <c r="C33" s="179" t="s">
        <v>54</v>
      </c>
      <c r="D33" s="180">
        <v>122</v>
      </c>
      <c r="E33" s="180">
        <v>37</v>
      </c>
      <c r="F33" s="180">
        <v>648</v>
      </c>
      <c r="G33" s="180">
        <v>141</v>
      </c>
      <c r="H33" s="180">
        <v>166</v>
      </c>
      <c r="I33" s="180">
        <v>42</v>
      </c>
      <c r="J33" s="180">
        <v>720</v>
      </c>
      <c r="K33" s="180">
        <v>87</v>
      </c>
      <c r="L33" s="180">
        <v>22</v>
      </c>
      <c r="M33" s="180">
        <v>4</v>
      </c>
      <c r="N33" s="180">
        <v>8</v>
      </c>
      <c r="O33" s="180">
        <v>1</v>
      </c>
      <c r="P33" s="180">
        <v>2</v>
      </c>
      <c r="Q33" s="180">
        <v>0</v>
      </c>
      <c r="R33" s="180">
        <v>16</v>
      </c>
      <c r="S33" s="180">
        <v>0</v>
      </c>
      <c r="T33" s="180">
        <v>58</v>
      </c>
      <c r="U33" s="180">
        <v>22</v>
      </c>
      <c r="V33" s="180">
        <v>13</v>
      </c>
      <c r="W33" s="180">
        <v>3</v>
      </c>
    </row>
    <row r="34" spans="1:23">
      <c r="A34" s="177" t="s">
        <v>16</v>
      </c>
      <c r="B34" s="178" t="s">
        <v>49</v>
      </c>
      <c r="C34" s="179" t="s">
        <v>55</v>
      </c>
      <c r="D34" s="180">
        <v>125</v>
      </c>
      <c r="E34" s="180">
        <v>81</v>
      </c>
      <c r="F34" s="180">
        <v>600</v>
      </c>
      <c r="G34" s="180">
        <v>389</v>
      </c>
      <c r="H34" s="180">
        <v>211</v>
      </c>
      <c r="I34" s="180">
        <v>95</v>
      </c>
      <c r="J34" s="180">
        <v>739</v>
      </c>
      <c r="K34" s="180">
        <v>267</v>
      </c>
      <c r="L34" s="180">
        <v>20</v>
      </c>
      <c r="M34" s="180">
        <v>10</v>
      </c>
      <c r="N34" s="180">
        <v>6</v>
      </c>
      <c r="O34" s="180">
        <v>6</v>
      </c>
      <c r="P34" s="180">
        <v>0</v>
      </c>
      <c r="Q34" s="180">
        <v>0</v>
      </c>
      <c r="R34" s="180">
        <v>10</v>
      </c>
      <c r="S34" s="180">
        <v>4</v>
      </c>
      <c r="T34" s="180">
        <v>55</v>
      </c>
      <c r="U34" s="180">
        <v>42</v>
      </c>
      <c r="V34" s="180">
        <v>22</v>
      </c>
      <c r="W34" s="180">
        <v>4</v>
      </c>
    </row>
    <row r="35" spans="1:23">
      <c r="A35" s="177" t="s">
        <v>16</v>
      </c>
      <c r="B35" s="178" t="s">
        <v>49</v>
      </c>
      <c r="C35" s="179" t="s">
        <v>56</v>
      </c>
      <c r="D35" s="180">
        <v>64</v>
      </c>
      <c r="E35" s="180">
        <v>85</v>
      </c>
      <c r="F35" s="180">
        <v>309</v>
      </c>
      <c r="G35" s="180">
        <v>370</v>
      </c>
      <c r="H35" s="180">
        <v>61</v>
      </c>
      <c r="I35" s="180">
        <v>41</v>
      </c>
      <c r="J35" s="180">
        <v>343</v>
      </c>
      <c r="K35" s="180">
        <v>154</v>
      </c>
      <c r="L35" s="180">
        <v>8</v>
      </c>
      <c r="M35" s="180">
        <v>9</v>
      </c>
      <c r="N35" s="180">
        <v>0</v>
      </c>
      <c r="O35" s="180">
        <v>1</v>
      </c>
      <c r="P35" s="180">
        <v>1</v>
      </c>
      <c r="Q35" s="180">
        <v>0</v>
      </c>
      <c r="R35" s="180">
        <v>22</v>
      </c>
      <c r="S35" s="180">
        <v>24</v>
      </c>
      <c r="T35" s="180">
        <v>36</v>
      </c>
      <c r="U35" s="180">
        <v>23</v>
      </c>
      <c r="V35" s="180">
        <v>2</v>
      </c>
      <c r="W35" s="180">
        <v>5</v>
      </c>
    </row>
    <row r="36" spans="1:23" ht="51">
      <c r="A36" s="177" t="s">
        <v>16</v>
      </c>
      <c r="B36" s="178" t="s">
        <v>57</v>
      </c>
      <c r="C36" s="179" t="s">
        <v>58</v>
      </c>
      <c r="D36" s="180">
        <v>91</v>
      </c>
      <c r="E36" s="180">
        <v>134</v>
      </c>
      <c r="F36" s="180">
        <v>575</v>
      </c>
      <c r="G36" s="180">
        <v>718</v>
      </c>
      <c r="H36" s="180">
        <v>151</v>
      </c>
      <c r="I36" s="180">
        <v>96</v>
      </c>
      <c r="J36" s="180">
        <v>1021</v>
      </c>
      <c r="K36" s="180">
        <v>477</v>
      </c>
      <c r="L36" s="180">
        <v>14</v>
      </c>
      <c r="M36" s="180">
        <v>36</v>
      </c>
      <c r="N36" s="180">
        <v>8</v>
      </c>
      <c r="O36" s="180">
        <v>5</v>
      </c>
      <c r="P36" s="180">
        <v>0</v>
      </c>
      <c r="Q36" s="180">
        <v>0</v>
      </c>
      <c r="R36" s="180">
        <v>34</v>
      </c>
      <c r="S36" s="180">
        <v>70</v>
      </c>
      <c r="T36" s="180">
        <v>44</v>
      </c>
      <c r="U36" s="180">
        <v>57</v>
      </c>
      <c r="V36" s="180">
        <v>25</v>
      </c>
      <c r="W36" s="180">
        <v>8</v>
      </c>
    </row>
    <row r="37" spans="1:23" ht="51">
      <c r="A37" s="177" t="s">
        <v>16</v>
      </c>
      <c r="B37" s="178" t="s">
        <v>57</v>
      </c>
      <c r="C37" s="179" t="s">
        <v>59</v>
      </c>
      <c r="D37" s="180">
        <v>26</v>
      </c>
      <c r="E37" s="180">
        <v>41</v>
      </c>
      <c r="F37" s="180">
        <v>193</v>
      </c>
      <c r="G37" s="180">
        <v>314</v>
      </c>
      <c r="H37" s="180">
        <v>102</v>
      </c>
      <c r="I37" s="180">
        <v>85</v>
      </c>
      <c r="J37" s="180">
        <v>413</v>
      </c>
      <c r="K37" s="180">
        <v>239</v>
      </c>
      <c r="L37" s="180">
        <v>8</v>
      </c>
      <c r="M37" s="180">
        <v>18</v>
      </c>
      <c r="N37" s="180">
        <v>4</v>
      </c>
      <c r="O37" s="180">
        <v>6</v>
      </c>
      <c r="P37" s="180">
        <v>0</v>
      </c>
      <c r="Q37" s="180">
        <v>0</v>
      </c>
      <c r="R37" s="180">
        <v>5</v>
      </c>
      <c r="S37" s="180">
        <v>7</v>
      </c>
      <c r="T37" s="180">
        <v>15</v>
      </c>
      <c r="U37" s="180">
        <v>20</v>
      </c>
      <c r="V37" s="180">
        <v>7</v>
      </c>
      <c r="W37" s="180">
        <v>4</v>
      </c>
    </row>
    <row r="38" spans="1:23" ht="25.5">
      <c r="A38" s="177" t="s">
        <v>16</v>
      </c>
      <c r="B38" s="178" t="s">
        <v>60</v>
      </c>
      <c r="C38" s="181" t="s">
        <v>61</v>
      </c>
      <c r="D38" s="182">
        <v>135</v>
      </c>
      <c r="E38" s="182">
        <v>192</v>
      </c>
      <c r="F38" s="182">
        <v>724</v>
      </c>
      <c r="G38" s="182">
        <v>979</v>
      </c>
      <c r="H38" s="182">
        <v>52</v>
      </c>
      <c r="I38" s="182">
        <v>40</v>
      </c>
      <c r="J38" s="182">
        <v>439</v>
      </c>
      <c r="K38" s="182">
        <v>323</v>
      </c>
      <c r="L38" s="182">
        <v>16</v>
      </c>
      <c r="M38" s="182">
        <v>11</v>
      </c>
      <c r="N38" s="182">
        <v>1</v>
      </c>
      <c r="O38" s="182">
        <v>5</v>
      </c>
      <c r="P38" s="182">
        <v>0</v>
      </c>
      <c r="Q38" s="182">
        <v>0</v>
      </c>
      <c r="R38" s="182">
        <v>117</v>
      </c>
      <c r="S38" s="182">
        <v>137</v>
      </c>
      <c r="T38" s="182">
        <v>28</v>
      </c>
      <c r="U38" s="182">
        <v>39</v>
      </c>
      <c r="V38" s="182">
        <v>7</v>
      </c>
      <c r="W38" s="182">
        <v>9</v>
      </c>
    </row>
    <row r="39" spans="1:23" ht="25.5">
      <c r="A39" s="177" t="s">
        <v>16</v>
      </c>
      <c r="B39" s="178" t="s">
        <v>60</v>
      </c>
      <c r="C39" s="181" t="s">
        <v>62</v>
      </c>
      <c r="D39" s="182">
        <v>26</v>
      </c>
      <c r="E39" s="182">
        <v>33</v>
      </c>
      <c r="F39" s="182">
        <v>39</v>
      </c>
      <c r="G39" s="182">
        <v>78</v>
      </c>
      <c r="H39" s="182">
        <v>0</v>
      </c>
      <c r="I39" s="182">
        <v>0</v>
      </c>
      <c r="J39" s="182">
        <v>0</v>
      </c>
      <c r="K39" s="182">
        <v>0</v>
      </c>
      <c r="L39" s="182">
        <v>2</v>
      </c>
      <c r="M39" s="182">
        <v>2</v>
      </c>
      <c r="N39" s="182">
        <v>0</v>
      </c>
      <c r="O39" s="182">
        <v>0</v>
      </c>
      <c r="P39" s="182">
        <v>0</v>
      </c>
      <c r="Q39" s="182">
        <v>0</v>
      </c>
      <c r="R39" s="182">
        <v>0</v>
      </c>
      <c r="S39" s="182">
        <v>0</v>
      </c>
      <c r="T39" s="182">
        <v>0</v>
      </c>
      <c r="U39" s="182">
        <v>0</v>
      </c>
      <c r="V39" s="182">
        <v>0</v>
      </c>
      <c r="W39" s="182">
        <v>0</v>
      </c>
    </row>
    <row r="40" spans="1:23" ht="25.5">
      <c r="A40" s="177" t="s">
        <v>16</v>
      </c>
      <c r="B40" s="178" t="s">
        <v>60</v>
      </c>
      <c r="C40" s="179" t="s">
        <v>63</v>
      </c>
      <c r="D40" s="180">
        <v>44</v>
      </c>
      <c r="E40" s="180">
        <v>95</v>
      </c>
      <c r="F40" s="180">
        <v>214</v>
      </c>
      <c r="G40" s="180">
        <v>440</v>
      </c>
      <c r="H40" s="180">
        <v>44</v>
      </c>
      <c r="I40" s="180">
        <v>44</v>
      </c>
      <c r="J40" s="180">
        <v>185</v>
      </c>
      <c r="K40" s="180">
        <v>157</v>
      </c>
      <c r="L40" s="180">
        <v>12</v>
      </c>
      <c r="M40" s="180">
        <v>12</v>
      </c>
      <c r="N40" s="180">
        <v>9</v>
      </c>
      <c r="O40" s="180">
        <v>12</v>
      </c>
      <c r="P40" s="180">
        <v>0</v>
      </c>
      <c r="Q40" s="180">
        <v>0</v>
      </c>
      <c r="R40" s="180">
        <v>9</v>
      </c>
      <c r="S40" s="180">
        <v>23</v>
      </c>
      <c r="T40" s="180">
        <v>20</v>
      </c>
      <c r="U40" s="180">
        <v>31</v>
      </c>
      <c r="V40" s="180">
        <v>5</v>
      </c>
      <c r="W40" s="180">
        <v>8</v>
      </c>
    </row>
    <row r="41" spans="1:23" ht="25.5">
      <c r="A41" s="177" t="s">
        <v>16</v>
      </c>
      <c r="B41" s="178" t="s">
        <v>60</v>
      </c>
      <c r="C41" s="179" t="s">
        <v>64</v>
      </c>
      <c r="D41" s="180">
        <v>40</v>
      </c>
      <c r="E41" s="180">
        <v>57</v>
      </c>
      <c r="F41" s="180">
        <v>168</v>
      </c>
      <c r="G41" s="180">
        <v>319</v>
      </c>
      <c r="H41" s="180">
        <v>29</v>
      </c>
      <c r="I41" s="180">
        <v>37</v>
      </c>
      <c r="J41" s="180">
        <v>82</v>
      </c>
      <c r="K41" s="180">
        <v>65</v>
      </c>
      <c r="L41" s="180">
        <v>20</v>
      </c>
      <c r="M41" s="180">
        <v>14</v>
      </c>
      <c r="N41" s="180">
        <v>5</v>
      </c>
      <c r="O41" s="180">
        <v>8</v>
      </c>
      <c r="P41" s="180">
        <v>0</v>
      </c>
      <c r="Q41" s="180">
        <v>1</v>
      </c>
      <c r="R41" s="180">
        <v>6</v>
      </c>
      <c r="S41" s="180">
        <v>8</v>
      </c>
      <c r="T41" s="180">
        <v>27</v>
      </c>
      <c r="U41" s="180">
        <v>47</v>
      </c>
      <c r="V41" s="180">
        <v>3</v>
      </c>
      <c r="W41" s="180">
        <v>2</v>
      </c>
    </row>
    <row r="42" spans="1:23" ht="25.5">
      <c r="A42" s="177" t="s">
        <v>16</v>
      </c>
      <c r="B42" s="178" t="s">
        <v>60</v>
      </c>
      <c r="C42" s="179" t="s">
        <v>65</v>
      </c>
      <c r="D42" s="180">
        <v>37</v>
      </c>
      <c r="E42" s="180">
        <v>107</v>
      </c>
      <c r="F42" s="180">
        <v>183</v>
      </c>
      <c r="G42" s="180">
        <v>411</v>
      </c>
      <c r="H42" s="180">
        <v>44</v>
      </c>
      <c r="I42" s="180">
        <v>76</v>
      </c>
      <c r="J42" s="180">
        <v>131</v>
      </c>
      <c r="K42" s="180">
        <v>138</v>
      </c>
      <c r="L42" s="180">
        <v>9</v>
      </c>
      <c r="M42" s="180">
        <v>12</v>
      </c>
      <c r="N42" s="180">
        <v>5</v>
      </c>
      <c r="O42" s="180">
        <v>8</v>
      </c>
      <c r="P42" s="180">
        <v>0</v>
      </c>
      <c r="Q42" s="180">
        <v>0</v>
      </c>
      <c r="R42" s="180">
        <v>13</v>
      </c>
      <c r="S42" s="180">
        <v>33</v>
      </c>
      <c r="T42" s="180">
        <v>17</v>
      </c>
      <c r="U42" s="180">
        <v>32</v>
      </c>
      <c r="V42" s="180">
        <v>4</v>
      </c>
      <c r="W42" s="180">
        <v>11</v>
      </c>
    </row>
    <row r="43" spans="1:23" ht="25.5">
      <c r="A43" s="177" t="s">
        <v>16</v>
      </c>
      <c r="B43" s="178" t="s">
        <v>66</v>
      </c>
      <c r="C43" s="179" t="s">
        <v>67</v>
      </c>
      <c r="D43" s="180">
        <v>22</v>
      </c>
      <c r="E43" s="180">
        <v>94</v>
      </c>
      <c r="F43" s="180">
        <v>159</v>
      </c>
      <c r="G43" s="180">
        <v>421</v>
      </c>
      <c r="H43" s="180">
        <v>55</v>
      </c>
      <c r="I43" s="180">
        <v>108</v>
      </c>
      <c r="J43" s="180">
        <v>186</v>
      </c>
      <c r="K43" s="180">
        <v>194</v>
      </c>
      <c r="L43" s="180">
        <v>4</v>
      </c>
      <c r="M43" s="180">
        <v>7</v>
      </c>
      <c r="N43" s="180">
        <v>8</v>
      </c>
      <c r="O43" s="180">
        <v>32</v>
      </c>
      <c r="P43" s="180">
        <v>0</v>
      </c>
      <c r="Q43" s="180">
        <v>0</v>
      </c>
      <c r="R43" s="180">
        <v>11</v>
      </c>
      <c r="S43" s="180">
        <v>16</v>
      </c>
      <c r="T43" s="180">
        <v>17</v>
      </c>
      <c r="U43" s="180">
        <v>45</v>
      </c>
      <c r="V43" s="180">
        <v>7</v>
      </c>
      <c r="W43" s="180">
        <v>9</v>
      </c>
    </row>
    <row r="44" spans="1:23">
      <c r="A44" s="177" t="s">
        <v>16</v>
      </c>
      <c r="B44" s="178" t="s">
        <v>66</v>
      </c>
      <c r="C44" s="179" t="s">
        <v>68</v>
      </c>
      <c r="D44" s="180">
        <v>13</v>
      </c>
      <c r="E44" s="180">
        <v>68</v>
      </c>
      <c r="F44" s="180">
        <v>83</v>
      </c>
      <c r="G44" s="180">
        <v>335</v>
      </c>
      <c r="H44" s="180">
        <v>24</v>
      </c>
      <c r="I44" s="180">
        <v>139</v>
      </c>
      <c r="J44" s="180">
        <v>80</v>
      </c>
      <c r="K44" s="180">
        <v>287</v>
      </c>
      <c r="L44" s="180">
        <v>6</v>
      </c>
      <c r="M44" s="180">
        <v>14</v>
      </c>
      <c r="N44" s="180">
        <v>3</v>
      </c>
      <c r="O44" s="180">
        <v>8</v>
      </c>
      <c r="P44" s="180">
        <v>1</v>
      </c>
      <c r="Q44" s="180">
        <v>2</v>
      </c>
      <c r="R44" s="180">
        <v>0</v>
      </c>
      <c r="S44" s="180">
        <v>3</v>
      </c>
      <c r="T44" s="180">
        <v>5</v>
      </c>
      <c r="U44" s="180">
        <v>23</v>
      </c>
      <c r="V44" s="180">
        <v>2</v>
      </c>
      <c r="W44" s="180">
        <v>19</v>
      </c>
    </row>
    <row r="45" spans="1:23">
      <c r="A45" s="177" t="s">
        <v>16</v>
      </c>
      <c r="B45" s="178" t="s">
        <v>66</v>
      </c>
      <c r="C45" s="179" t="s">
        <v>69</v>
      </c>
      <c r="D45" s="180">
        <v>45</v>
      </c>
      <c r="E45" s="180">
        <v>67</v>
      </c>
      <c r="F45" s="180">
        <v>186</v>
      </c>
      <c r="G45" s="180">
        <v>305</v>
      </c>
      <c r="H45" s="180">
        <v>56</v>
      </c>
      <c r="I45" s="180">
        <v>67</v>
      </c>
      <c r="J45" s="180">
        <v>128</v>
      </c>
      <c r="K45" s="180">
        <v>218</v>
      </c>
      <c r="L45" s="180">
        <v>4</v>
      </c>
      <c r="M45" s="180">
        <v>14</v>
      </c>
      <c r="N45" s="180">
        <v>4</v>
      </c>
      <c r="O45" s="180">
        <v>10</v>
      </c>
      <c r="P45" s="180">
        <v>0</v>
      </c>
      <c r="Q45" s="180">
        <v>0</v>
      </c>
      <c r="R45" s="180">
        <v>2</v>
      </c>
      <c r="S45" s="180">
        <v>5</v>
      </c>
      <c r="T45" s="180">
        <v>6</v>
      </c>
      <c r="U45" s="180">
        <v>27</v>
      </c>
      <c r="V45" s="180">
        <v>9</v>
      </c>
      <c r="W45" s="180">
        <v>14</v>
      </c>
    </row>
    <row r="46" spans="1:23">
      <c r="A46" s="177" t="s">
        <v>16</v>
      </c>
      <c r="B46" s="178" t="s">
        <v>66</v>
      </c>
      <c r="C46" s="179" t="s">
        <v>70</v>
      </c>
      <c r="D46" s="180">
        <v>18</v>
      </c>
      <c r="E46" s="180">
        <v>45</v>
      </c>
      <c r="F46" s="180">
        <v>124</v>
      </c>
      <c r="G46" s="180">
        <v>211</v>
      </c>
      <c r="H46" s="180">
        <v>49</v>
      </c>
      <c r="I46" s="180">
        <v>60</v>
      </c>
      <c r="J46" s="180">
        <v>175</v>
      </c>
      <c r="K46" s="180">
        <v>152</v>
      </c>
      <c r="L46" s="180">
        <v>4</v>
      </c>
      <c r="M46" s="180">
        <v>4</v>
      </c>
      <c r="N46" s="180">
        <v>7</v>
      </c>
      <c r="O46" s="180">
        <v>6</v>
      </c>
      <c r="P46" s="180">
        <v>0</v>
      </c>
      <c r="Q46" s="180">
        <v>0</v>
      </c>
      <c r="R46" s="180">
        <v>7</v>
      </c>
      <c r="S46" s="180">
        <v>12</v>
      </c>
      <c r="T46" s="180">
        <v>5</v>
      </c>
      <c r="U46" s="180">
        <v>16</v>
      </c>
      <c r="V46" s="180">
        <v>3</v>
      </c>
      <c r="W46" s="180">
        <v>8</v>
      </c>
    </row>
    <row r="47" spans="1:23">
      <c r="A47" s="177" t="s">
        <v>16</v>
      </c>
      <c r="B47" s="57"/>
      <c r="C47" s="179" t="s">
        <v>126</v>
      </c>
      <c r="D47" s="58">
        <f>SUM(D4:D46)</f>
        <v>2686</v>
      </c>
      <c r="E47" s="58">
        <f t="shared" ref="E47:W47" si="0">SUM(E4:E46)</f>
        <v>4140</v>
      </c>
      <c r="F47" s="58">
        <f t="shared" si="0"/>
        <v>12457</v>
      </c>
      <c r="G47" s="58">
        <f t="shared" si="0"/>
        <v>18585</v>
      </c>
      <c r="H47" s="58">
        <f t="shared" si="0"/>
        <v>3203</v>
      </c>
      <c r="I47" s="58">
        <f t="shared" si="0"/>
        <v>3244</v>
      </c>
      <c r="J47" s="58">
        <f t="shared" si="0"/>
        <v>17948</v>
      </c>
      <c r="K47" s="58">
        <f t="shared" si="0"/>
        <v>16175</v>
      </c>
      <c r="L47" s="58">
        <f t="shared" si="0"/>
        <v>491</v>
      </c>
      <c r="M47" s="58">
        <f t="shared" si="0"/>
        <v>593</v>
      </c>
      <c r="N47" s="58">
        <f t="shared" si="0"/>
        <v>191</v>
      </c>
      <c r="O47" s="58">
        <f t="shared" si="0"/>
        <v>226</v>
      </c>
      <c r="P47" s="58">
        <f t="shared" si="0"/>
        <v>19</v>
      </c>
      <c r="Q47" s="58">
        <f t="shared" si="0"/>
        <v>17</v>
      </c>
      <c r="R47" s="58">
        <f t="shared" si="0"/>
        <v>689</v>
      </c>
      <c r="S47" s="58">
        <f t="shared" si="0"/>
        <v>1574</v>
      </c>
      <c r="T47" s="58">
        <f t="shared" si="0"/>
        <v>1198</v>
      </c>
      <c r="U47" s="58">
        <f t="shared" si="0"/>
        <v>2085</v>
      </c>
      <c r="V47" s="58">
        <f t="shared" si="0"/>
        <v>407</v>
      </c>
      <c r="W47" s="58">
        <f t="shared" si="0"/>
        <v>514</v>
      </c>
    </row>
  </sheetData>
  <mergeCells count="11">
    <mergeCell ref="V2:W2"/>
    <mergeCell ref="A1:W1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opLeftCell="D13" zoomScaleNormal="100" workbookViewId="0">
      <selection activeCell="AT10" sqref="AT1:AT1048576"/>
    </sheetView>
  </sheetViews>
  <sheetFormatPr defaultRowHeight="15"/>
  <cols>
    <col min="1" max="1" width="14.85546875" style="7" customWidth="1"/>
    <col min="2" max="2" width="21.5703125" style="7" customWidth="1"/>
    <col min="3" max="3" width="27.140625" style="7" customWidth="1"/>
    <col min="4" max="9" width="5.85546875" style="7" customWidth="1"/>
    <col min="10" max="11" width="5.85546875" style="4" customWidth="1"/>
    <col min="12" max="25" width="5.85546875" style="7" customWidth="1"/>
    <col min="26" max="27" width="5.85546875" style="12" customWidth="1"/>
    <col min="28" max="45" width="5.85546875" style="7" customWidth="1"/>
    <col min="46" max="283" width="9.140625" style="7"/>
    <col min="284" max="284" width="20.28515625" style="7" customWidth="1"/>
    <col min="285" max="285" width="15.5703125" style="7" customWidth="1"/>
    <col min="286" max="286" width="17.28515625" style="7" customWidth="1"/>
    <col min="287" max="287" width="16.7109375" style="7" customWidth="1"/>
    <col min="288" max="288" width="17.42578125" style="7" customWidth="1"/>
    <col min="289" max="291" width="18" style="7" customWidth="1"/>
    <col min="292" max="292" width="18.28515625" style="7" customWidth="1"/>
    <col min="293" max="293" width="17.5703125" style="7" customWidth="1"/>
    <col min="294" max="294" width="13" style="7" customWidth="1"/>
    <col min="295" max="295" width="17.28515625" style="7" customWidth="1"/>
    <col min="296" max="296" width="15" style="7" customWidth="1"/>
    <col min="297" max="297" width="13.5703125" style="7" customWidth="1"/>
    <col min="298" max="298" width="17.28515625" style="7" customWidth="1"/>
    <col min="299" max="299" width="18" style="7" customWidth="1"/>
    <col min="300" max="539" width="9.140625" style="7"/>
    <col min="540" max="540" width="20.28515625" style="7" customWidth="1"/>
    <col min="541" max="541" width="15.5703125" style="7" customWidth="1"/>
    <col min="542" max="542" width="17.28515625" style="7" customWidth="1"/>
    <col min="543" max="543" width="16.7109375" style="7" customWidth="1"/>
    <col min="544" max="544" width="17.42578125" style="7" customWidth="1"/>
    <col min="545" max="547" width="18" style="7" customWidth="1"/>
    <col min="548" max="548" width="18.28515625" style="7" customWidth="1"/>
    <col min="549" max="549" width="17.5703125" style="7" customWidth="1"/>
    <col min="550" max="550" width="13" style="7" customWidth="1"/>
    <col min="551" max="551" width="17.28515625" style="7" customWidth="1"/>
    <col min="552" max="552" width="15" style="7" customWidth="1"/>
    <col min="553" max="553" width="13.5703125" style="7" customWidth="1"/>
    <col min="554" max="554" width="17.28515625" style="7" customWidth="1"/>
    <col min="555" max="555" width="18" style="7" customWidth="1"/>
    <col min="556" max="795" width="9.140625" style="7"/>
    <col min="796" max="796" width="20.28515625" style="7" customWidth="1"/>
    <col min="797" max="797" width="15.5703125" style="7" customWidth="1"/>
    <col min="798" max="798" width="17.28515625" style="7" customWidth="1"/>
    <col min="799" max="799" width="16.7109375" style="7" customWidth="1"/>
    <col min="800" max="800" width="17.42578125" style="7" customWidth="1"/>
    <col min="801" max="803" width="18" style="7" customWidth="1"/>
    <col min="804" max="804" width="18.28515625" style="7" customWidth="1"/>
    <col min="805" max="805" width="17.5703125" style="7" customWidth="1"/>
    <col min="806" max="806" width="13" style="7" customWidth="1"/>
    <col min="807" max="807" width="17.28515625" style="7" customWidth="1"/>
    <col min="808" max="808" width="15" style="7" customWidth="1"/>
    <col min="809" max="809" width="13.5703125" style="7" customWidth="1"/>
    <col min="810" max="810" width="17.28515625" style="7" customWidth="1"/>
    <col min="811" max="811" width="18" style="7" customWidth="1"/>
    <col min="812" max="1051" width="9.140625" style="7"/>
    <col min="1052" max="1052" width="20.28515625" style="7" customWidth="1"/>
    <col min="1053" max="1053" width="15.5703125" style="7" customWidth="1"/>
    <col min="1054" max="1054" width="17.28515625" style="7" customWidth="1"/>
    <col min="1055" max="1055" width="16.7109375" style="7" customWidth="1"/>
    <col min="1056" max="1056" width="17.42578125" style="7" customWidth="1"/>
    <col min="1057" max="1059" width="18" style="7" customWidth="1"/>
    <col min="1060" max="1060" width="18.28515625" style="7" customWidth="1"/>
    <col min="1061" max="1061" width="17.5703125" style="7" customWidth="1"/>
    <col min="1062" max="1062" width="13" style="7" customWidth="1"/>
    <col min="1063" max="1063" width="17.28515625" style="7" customWidth="1"/>
    <col min="1064" max="1064" width="15" style="7" customWidth="1"/>
    <col min="1065" max="1065" width="13.5703125" style="7" customWidth="1"/>
    <col min="1066" max="1066" width="17.28515625" style="7" customWidth="1"/>
    <col min="1067" max="1067" width="18" style="7" customWidth="1"/>
    <col min="1068" max="1307" width="9.140625" style="7"/>
    <col min="1308" max="1308" width="20.28515625" style="7" customWidth="1"/>
    <col min="1309" max="1309" width="15.5703125" style="7" customWidth="1"/>
    <col min="1310" max="1310" width="17.28515625" style="7" customWidth="1"/>
    <col min="1311" max="1311" width="16.7109375" style="7" customWidth="1"/>
    <col min="1312" max="1312" width="17.42578125" style="7" customWidth="1"/>
    <col min="1313" max="1315" width="18" style="7" customWidth="1"/>
    <col min="1316" max="1316" width="18.28515625" style="7" customWidth="1"/>
    <col min="1317" max="1317" width="17.5703125" style="7" customWidth="1"/>
    <col min="1318" max="1318" width="13" style="7" customWidth="1"/>
    <col min="1319" max="1319" width="17.28515625" style="7" customWidth="1"/>
    <col min="1320" max="1320" width="15" style="7" customWidth="1"/>
    <col min="1321" max="1321" width="13.5703125" style="7" customWidth="1"/>
    <col min="1322" max="1322" width="17.28515625" style="7" customWidth="1"/>
    <col min="1323" max="1323" width="18" style="7" customWidth="1"/>
    <col min="1324" max="1563" width="9.140625" style="7"/>
    <col min="1564" max="1564" width="20.28515625" style="7" customWidth="1"/>
    <col min="1565" max="1565" width="15.5703125" style="7" customWidth="1"/>
    <col min="1566" max="1566" width="17.28515625" style="7" customWidth="1"/>
    <col min="1567" max="1567" width="16.7109375" style="7" customWidth="1"/>
    <col min="1568" max="1568" width="17.42578125" style="7" customWidth="1"/>
    <col min="1569" max="1571" width="18" style="7" customWidth="1"/>
    <col min="1572" max="1572" width="18.28515625" style="7" customWidth="1"/>
    <col min="1573" max="1573" width="17.5703125" style="7" customWidth="1"/>
    <col min="1574" max="1574" width="13" style="7" customWidth="1"/>
    <col min="1575" max="1575" width="17.28515625" style="7" customWidth="1"/>
    <col min="1576" max="1576" width="15" style="7" customWidth="1"/>
    <col min="1577" max="1577" width="13.5703125" style="7" customWidth="1"/>
    <col min="1578" max="1578" width="17.28515625" style="7" customWidth="1"/>
    <col min="1579" max="1579" width="18" style="7" customWidth="1"/>
    <col min="1580" max="1819" width="9.140625" style="7"/>
    <col min="1820" max="1820" width="20.28515625" style="7" customWidth="1"/>
    <col min="1821" max="1821" width="15.5703125" style="7" customWidth="1"/>
    <col min="1822" max="1822" width="17.28515625" style="7" customWidth="1"/>
    <col min="1823" max="1823" width="16.7109375" style="7" customWidth="1"/>
    <col min="1824" max="1824" width="17.42578125" style="7" customWidth="1"/>
    <col min="1825" max="1827" width="18" style="7" customWidth="1"/>
    <col min="1828" max="1828" width="18.28515625" style="7" customWidth="1"/>
    <col min="1829" max="1829" width="17.5703125" style="7" customWidth="1"/>
    <col min="1830" max="1830" width="13" style="7" customWidth="1"/>
    <col min="1831" max="1831" width="17.28515625" style="7" customWidth="1"/>
    <col min="1832" max="1832" width="15" style="7" customWidth="1"/>
    <col min="1833" max="1833" width="13.5703125" style="7" customWidth="1"/>
    <col min="1834" max="1834" width="17.28515625" style="7" customWidth="1"/>
    <col min="1835" max="1835" width="18" style="7" customWidth="1"/>
    <col min="1836" max="2075" width="9.140625" style="7"/>
    <col min="2076" max="2076" width="20.28515625" style="7" customWidth="1"/>
    <col min="2077" max="2077" width="15.5703125" style="7" customWidth="1"/>
    <col min="2078" max="2078" width="17.28515625" style="7" customWidth="1"/>
    <col min="2079" max="2079" width="16.7109375" style="7" customWidth="1"/>
    <col min="2080" max="2080" width="17.42578125" style="7" customWidth="1"/>
    <col min="2081" max="2083" width="18" style="7" customWidth="1"/>
    <col min="2084" max="2084" width="18.28515625" style="7" customWidth="1"/>
    <col min="2085" max="2085" width="17.5703125" style="7" customWidth="1"/>
    <col min="2086" max="2086" width="13" style="7" customWidth="1"/>
    <col min="2087" max="2087" width="17.28515625" style="7" customWidth="1"/>
    <col min="2088" max="2088" width="15" style="7" customWidth="1"/>
    <col min="2089" max="2089" width="13.5703125" style="7" customWidth="1"/>
    <col min="2090" max="2090" width="17.28515625" style="7" customWidth="1"/>
    <col min="2091" max="2091" width="18" style="7" customWidth="1"/>
    <col min="2092" max="2331" width="9.140625" style="7"/>
    <col min="2332" max="2332" width="20.28515625" style="7" customWidth="1"/>
    <col min="2333" max="2333" width="15.5703125" style="7" customWidth="1"/>
    <col min="2334" max="2334" width="17.28515625" style="7" customWidth="1"/>
    <col min="2335" max="2335" width="16.7109375" style="7" customWidth="1"/>
    <col min="2336" max="2336" width="17.42578125" style="7" customWidth="1"/>
    <col min="2337" max="2339" width="18" style="7" customWidth="1"/>
    <col min="2340" max="2340" width="18.28515625" style="7" customWidth="1"/>
    <col min="2341" max="2341" width="17.5703125" style="7" customWidth="1"/>
    <col min="2342" max="2342" width="13" style="7" customWidth="1"/>
    <col min="2343" max="2343" width="17.28515625" style="7" customWidth="1"/>
    <col min="2344" max="2344" width="15" style="7" customWidth="1"/>
    <col min="2345" max="2345" width="13.5703125" style="7" customWidth="1"/>
    <col min="2346" max="2346" width="17.28515625" style="7" customWidth="1"/>
    <col min="2347" max="2347" width="18" style="7" customWidth="1"/>
    <col min="2348" max="2587" width="9.140625" style="7"/>
    <col min="2588" max="2588" width="20.28515625" style="7" customWidth="1"/>
    <col min="2589" max="2589" width="15.5703125" style="7" customWidth="1"/>
    <col min="2590" max="2590" width="17.28515625" style="7" customWidth="1"/>
    <col min="2591" max="2591" width="16.7109375" style="7" customWidth="1"/>
    <col min="2592" max="2592" width="17.42578125" style="7" customWidth="1"/>
    <col min="2593" max="2595" width="18" style="7" customWidth="1"/>
    <col min="2596" max="2596" width="18.28515625" style="7" customWidth="1"/>
    <col min="2597" max="2597" width="17.5703125" style="7" customWidth="1"/>
    <col min="2598" max="2598" width="13" style="7" customWidth="1"/>
    <col min="2599" max="2599" width="17.28515625" style="7" customWidth="1"/>
    <col min="2600" max="2600" width="15" style="7" customWidth="1"/>
    <col min="2601" max="2601" width="13.5703125" style="7" customWidth="1"/>
    <col min="2602" max="2602" width="17.28515625" style="7" customWidth="1"/>
    <col min="2603" max="2603" width="18" style="7" customWidth="1"/>
    <col min="2604" max="2843" width="9.140625" style="7"/>
    <col min="2844" max="2844" width="20.28515625" style="7" customWidth="1"/>
    <col min="2845" max="2845" width="15.5703125" style="7" customWidth="1"/>
    <col min="2846" max="2846" width="17.28515625" style="7" customWidth="1"/>
    <col min="2847" max="2847" width="16.7109375" style="7" customWidth="1"/>
    <col min="2848" max="2848" width="17.42578125" style="7" customWidth="1"/>
    <col min="2849" max="2851" width="18" style="7" customWidth="1"/>
    <col min="2852" max="2852" width="18.28515625" style="7" customWidth="1"/>
    <col min="2853" max="2853" width="17.5703125" style="7" customWidth="1"/>
    <col min="2854" max="2854" width="13" style="7" customWidth="1"/>
    <col min="2855" max="2855" width="17.28515625" style="7" customWidth="1"/>
    <col min="2856" max="2856" width="15" style="7" customWidth="1"/>
    <col min="2857" max="2857" width="13.5703125" style="7" customWidth="1"/>
    <col min="2858" max="2858" width="17.28515625" style="7" customWidth="1"/>
    <col min="2859" max="2859" width="18" style="7" customWidth="1"/>
    <col min="2860" max="3099" width="9.140625" style="7"/>
    <col min="3100" max="3100" width="20.28515625" style="7" customWidth="1"/>
    <col min="3101" max="3101" width="15.5703125" style="7" customWidth="1"/>
    <col min="3102" max="3102" width="17.28515625" style="7" customWidth="1"/>
    <col min="3103" max="3103" width="16.7109375" style="7" customWidth="1"/>
    <col min="3104" max="3104" width="17.42578125" style="7" customWidth="1"/>
    <col min="3105" max="3107" width="18" style="7" customWidth="1"/>
    <col min="3108" max="3108" width="18.28515625" style="7" customWidth="1"/>
    <col min="3109" max="3109" width="17.5703125" style="7" customWidth="1"/>
    <col min="3110" max="3110" width="13" style="7" customWidth="1"/>
    <col min="3111" max="3111" width="17.28515625" style="7" customWidth="1"/>
    <col min="3112" max="3112" width="15" style="7" customWidth="1"/>
    <col min="3113" max="3113" width="13.5703125" style="7" customWidth="1"/>
    <col min="3114" max="3114" width="17.28515625" style="7" customWidth="1"/>
    <col min="3115" max="3115" width="18" style="7" customWidth="1"/>
    <col min="3116" max="3355" width="9.140625" style="7"/>
    <col min="3356" max="3356" width="20.28515625" style="7" customWidth="1"/>
    <col min="3357" max="3357" width="15.5703125" style="7" customWidth="1"/>
    <col min="3358" max="3358" width="17.28515625" style="7" customWidth="1"/>
    <col min="3359" max="3359" width="16.7109375" style="7" customWidth="1"/>
    <col min="3360" max="3360" width="17.42578125" style="7" customWidth="1"/>
    <col min="3361" max="3363" width="18" style="7" customWidth="1"/>
    <col min="3364" max="3364" width="18.28515625" style="7" customWidth="1"/>
    <col min="3365" max="3365" width="17.5703125" style="7" customWidth="1"/>
    <col min="3366" max="3366" width="13" style="7" customWidth="1"/>
    <col min="3367" max="3367" width="17.28515625" style="7" customWidth="1"/>
    <col min="3368" max="3368" width="15" style="7" customWidth="1"/>
    <col min="3369" max="3369" width="13.5703125" style="7" customWidth="1"/>
    <col min="3370" max="3370" width="17.28515625" style="7" customWidth="1"/>
    <col min="3371" max="3371" width="18" style="7" customWidth="1"/>
    <col min="3372" max="3611" width="9.140625" style="7"/>
    <col min="3612" max="3612" width="20.28515625" style="7" customWidth="1"/>
    <col min="3613" max="3613" width="15.5703125" style="7" customWidth="1"/>
    <col min="3614" max="3614" width="17.28515625" style="7" customWidth="1"/>
    <col min="3615" max="3615" width="16.7109375" style="7" customWidth="1"/>
    <col min="3616" max="3616" width="17.42578125" style="7" customWidth="1"/>
    <col min="3617" max="3619" width="18" style="7" customWidth="1"/>
    <col min="3620" max="3620" width="18.28515625" style="7" customWidth="1"/>
    <col min="3621" max="3621" width="17.5703125" style="7" customWidth="1"/>
    <col min="3622" max="3622" width="13" style="7" customWidth="1"/>
    <col min="3623" max="3623" width="17.28515625" style="7" customWidth="1"/>
    <col min="3624" max="3624" width="15" style="7" customWidth="1"/>
    <col min="3625" max="3625" width="13.5703125" style="7" customWidth="1"/>
    <col min="3626" max="3626" width="17.28515625" style="7" customWidth="1"/>
    <col min="3627" max="3627" width="18" style="7" customWidth="1"/>
    <col min="3628" max="3867" width="9.140625" style="7"/>
    <col min="3868" max="3868" width="20.28515625" style="7" customWidth="1"/>
    <col min="3869" max="3869" width="15.5703125" style="7" customWidth="1"/>
    <col min="3870" max="3870" width="17.28515625" style="7" customWidth="1"/>
    <col min="3871" max="3871" width="16.7109375" style="7" customWidth="1"/>
    <col min="3872" max="3872" width="17.42578125" style="7" customWidth="1"/>
    <col min="3873" max="3875" width="18" style="7" customWidth="1"/>
    <col min="3876" max="3876" width="18.28515625" style="7" customWidth="1"/>
    <col min="3877" max="3877" width="17.5703125" style="7" customWidth="1"/>
    <col min="3878" max="3878" width="13" style="7" customWidth="1"/>
    <col min="3879" max="3879" width="17.28515625" style="7" customWidth="1"/>
    <col min="3880" max="3880" width="15" style="7" customWidth="1"/>
    <col min="3881" max="3881" width="13.5703125" style="7" customWidth="1"/>
    <col min="3882" max="3882" width="17.28515625" style="7" customWidth="1"/>
    <col min="3883" max="3883" width="18" style="7" customWidth="1"/>
    <col min="3884" max="4123" width="9.140625" style="7"/>
    <col min="4124" max="4124" width="20.28515625" style="7" customWidth="1"/>
    <col min="4125" max="4125" width="15.5703125" style="7" customWidth="1"/>
    <col min="4126" max="4126" width="17.28515625" style="7" customWidth="1"/>
    <col min="4127" max="4127" width="16.7109375" style="7" customWidth="1"/>
    <col min="4128" max="4128" width="17.42578125" style="7" customWidth="1"/>
    <col min="4129" max="4131" width="18" style="7" customWidth="1"/>
    <col min="4132" max="4132" width="18.28515625" style="7" customWidth="1"/>
    <col min="4133" max="4133" width="17.5703125" style="7" customWidth="1"/>
    <col min="4134" max="4134" width="13" style="7" customWidth="1"/>
    <col min="4135" max="4135" width="17.28515625" style="7" customWidth="1"/>
    <col min="4136" max="4136" width="15" style="7" customWidth="1"/>
    <col min="4137" max="4137" width="13.5703125" style="7" customWidth="1"/>
    <col min="4138" max="4138" width="17.28515625" style="7" customWidth="1"/>
    <col min="4139" max="4139" width="18" style="7" customWidth="1"/>
    <col min="4140" max="4379" width="9.140625" style="7"/>
    <col min="4380" max="4380" width="20.28515625" style="7" customWidth="1"/>
    <col min="4381" max="4381" width="15.5703125" style="7" customWidth="1"/>
    <col min="4382" max="4382" width="17.28515625" style="7" customWidth="1"/>
    <col min="4383" max="4383" width="16.7109375" style="7" customWidth="1"/>
    <col min="4384" max="4384" width="17.42578125" style="7" customWidth="1"/>
    <col min="4385" max="4387" width="18" style="7" customWidth="1"/>
    <col min="4388" max="4388" width="18.28515625" style="7" customWidth="1"/>
    <col min="4389" max="4389" width="17.5703125" style="7" customWidth="1"/>
    <col min="4390" max="4390" width="13" style="7" customWidth="1"/>
    <col min="4391" max="4391" width="17.28515625" style="7" customWidth="1"/>
    <col min="4392" max="4392" width="15" style="7" customWidth="1"/>
    <col min="4393" max="4393" width="13.5703125" style="7" customWidth="1"/>
    <col min="4394" max="4394" width="17.28515625" style="7" customWidth="1"/>
    <col min="4395" max="4395" width="18" style="7" customWidth="1"/>
    <col min="4396" max="4635" width="9.140625" style="7"/>
    <col min="4636" max="4636" width="20.28515625" style="7" customWidth="1"/>
    <col min="4637" max="4637" width="15.5703125" style="7" customWidth="1"/>
    <col min="4638" max="4638" width="17.28515625" style="7" customWidth="1"/>
    <col min="4639" max="4639" width="16.7109375" style="7" customWidth="1"/>
    <col min="4640" max="4640" width="17.42578125" style="7" customWidth="1"/>
    <col min="4641" max="4643" width="18" style="7" customWidth="1"/>
    <col min="4644" max="4644" width="18.28515625" style="7" customWidth="1"/>
    <col min="4645" max="4645" width="17.5703125" style="7" customWidth="1"/>
    <col min="4646" max="4646" width="13" style="7" customWidth="1"/>
    <col min="4647" max="4647" width="17.28515625" style="7" customWidth="1"/>
    <col min="4648" max="4648" width="15" style="7" customWidth="1"/>
    <col min="4649" max="4649" width="13.5703125" style="7" customWidth="1"/>
    <col min="4650" max="4650" width="17.28515625" style="7" customWidth="1"/>
    <col min="4651" max="4651" width="18" style="7" customWidth="1"/>
    <col min="4652" max="4891" width="9.140625" style="7"/>
    <col min="4892" max="4892" width="20.28515625" style="7" customWidth="1"/>
    <col min="4893" max="4893" width="15.5703125" style="7" customWidth="1"/>
    <col min="4894" max="4894" width="17.28515625" style="7" customWidth="1"/>
    <col min="4895" max="4895" width="16.7109375" style="7" customWidth="1"/>
    <col min="4896" max="4896" width="17.42578125" style="7" customWidth="1"/>
    <col min="4897" max="4899" width="18" style="7" customWidth="1"/>
    <col min="4900" max="4900" width="18.28515625" style="7" customWidth="1"/>
    <col min="4901" max="4901" width="17.5703125" style="7" customWidth="1"/>
    <col min="4902" max="4902" width="13" style="7" customWidth="1"/>
    <col min="4903" max="4903" width="17.28515625" style="7" customWidth="1"/>
    <col min="4904" max="4904" width="15" style="7" customWidth="1"/>
    <col min="4905" max="4905" width="13.5703125" style="7" customWidth="1"/>
    <col min="4906" max="4906" width="17.28515625" style="7" customWidth="1"/>
    <col min="4907" max="4907" width="18" style="7" customWidth="1"/>
    <col min="4908" max="5147" width="9.140625" style="7"/>
    <col min="5148" max="5148" width="20.28515625" style="7" customWidth="1"/>
    <col min="5149" max="5149" width="15.5703125" style="7" customWidth="1"/>
    <col min="5150" max="5150" width="17.28515625" style="7" customWidth="1"/>
    <col min="5151" max="5151" width="16.7109375" style="7" customWidth="1"/>
    <col min="5152" max="5152" width="17.42578125" style="7" customWidth="1"/>
    <col min="5153" max="5155" width="18" style="7" customWidth="1"/>
    <col min="5156" max="5156" width="18.28515625" style="7" customWidth="1"/>
    <col min="5157" max="5157" width="17.5703125" style="7" customWidth="1"/>
    <col min="5158" max="5158" width="13" style="7" customWidth="1"/>
    <col min="5159" max="5159" width="17.28515625" style="7" customWidth="1"/>
    <col min="5160" max="5160" width="15" style="7" customWidth="1"/>
    <col min="5161" max="5161" width="13.5703125" style="7" customWidth="1"/>
    <col min="5162" max="5162" width="17.28515625" style="7" customWidth="1"/>
    <col min="5163" max="5163" width="18" style="7" customWidth="1"/>
    <col min="5164" max="5403" width="9.140625" style="7"/>
    <col min="5404" max="5404" width="20.28515625" style="7" customWidth="1"/>
    <col min="5405" max="5405" width="15.5703125" style="7" customWidth="1"/>
    <col min="5406" max="5406" width="17.28515625" style="7" customWidth="1"/>
    <col min="5407" max="5407" width="16.7109375" style="7" customWidth="1"/>
    <col min="5408" max="5408" width="17.42578125" style="7" customWidth="1"/>
    <col min="5409" max="5411" width="18" style="7" customWidth="1"/>
    <col min="5412" max="5412" width="18.28515625" style="7" customWidth="1"/>
    <col min="5413" max="5413" width="17.5703125" style="7" customWidth="1"/>
    <col min="5414" max="5414" width="13" style="7" customWidth="1"/>
    <col min="5415" max="5415" width="17.28515625" style="7" customWidth="1"/>
    <col min="5416" max="5416" width="15" style="7" customWidth="1"/>
    <col min="5417" max="5417" width="13.5703125" style="7" customWidth="1"/>
    <col min="5418" max="5418" width="17.28515625" style="7" customWidth="1"/>
    <col min="5419" max="5419" width="18" style="7" customWidth="1"/>
    <col min="5420" max="5659" width="9.140625" style="7"/>
    <col min="5660" max="5660" width="20.28515625" style="7" customWidth="1"/>
    <col min="5661" max="5661" width="15.5703125" style="7" customWidth="1"/>
    <col min="5662" max="5662" width="17.28515625" style="7" customWidth="1"/>
    <col min="5663" max="5663" width="16.7109375" style="7" customWidth="1"/>
    <col min="5664" max="5664" width="17.42578125" style="7" customWidth="1"/>
    <col min="5665" max="5667" width="18" style="7" customWidth="1"/>
    <col min="5668" max="5668" width="18.28515625" style="7" customWidth="1"/>
    <col min="5669" max="5669" width="17.5703125" style="7" customWidth="1"/>
    <col min="5670" max="5670" width="13" style="7" customWidth="1"/>
    <col min="5671" max="5671" width="17.28515625" style="7" customWidth="1"/>
    <col min="5672" max="5672" width="15" style="7" customWidth="1"/>
    <col min="5673" max="5673" width="13.5703125" style="7" customWidth="1"/>
    <col min="5674" max="5674" width="17.28515625" style="7" customWidth="1"/>
    <col min="5675" max="5675" width="18" style="7" customWidth="1"/>
    <col min="5676" max="5915" width="9.140625" style="7"/>
    <col min="5916" max="5916" width="20.28515625" style="7" customWidth="1"/>
    <col min="5917" max="5917" width="15.5703125" style="7" customWidth="1"/>
    <col min="5918" max="5918" width="17.28515625" style="7" customWidth="1"/>
    <col min="5919" max="5919" width="16.7109375" style="7" customWidth="1"/>
    <col min="5920" max="5920" width="17.42578125" style="7" customWidth="1"/>
    <col min="5921" max="5923" width="18" style="7" customWidth="1"/>
    <col min="5924" max="5924" width="18.28515625" style="7" customWidth="1"/>
    <col min="5925" max="5925" width="17.5703125" style="7" customWidth="1"/>
    <col min="5926" max="5926" width="13" style="7" customWidth="1"/>
    <col min="5927" max="5927" width="17.28515625" style="7" customWidth="1"/>
    <col min="5928" max="5928" width="15" style="7" customWidth="1"/>
    <col min="5929" max="5929" width="13.5703125" style="7" customWidth="1"/>
    <col min="5930" max="5930" width="17.28515625" style="7" customWidth="1"/>
    <col min="5931" max="5931" width="18" style="7" customWidth="1"/>
    <col min="5932" max="6171" width="9.140625" style="7"/>
    <col min="6172" max="6172" width="20.28515625" style="7" customWidth="1"/>
    <col min="6173" max="6173" width="15.5703125" style="7" customWidth="1"/>
    <col min="6174" max="6174" width="17.28515625" style="7" customWidth="1"/>
    <col min="6175" max="6175" width="16.7109375" style="7" customWidth="1"/>
    <col min="6176" max="6176" width="17.42578125" style="7" customWidth="1"/>
    <col min="6177" max="6179" width="18" style="7" customWidth="1"/>
    <col min="6180" max="6180" width="18.28515625" style="7" customWidth="1"/>
    <col min="6181" max="6181" width="17.5703125" style="7" customWidth="1"/>
    <col min="6182" max="6182" width="13" style="7" customWidth="1"/>
    <col min="6183" max="6183" width="17.28515625" style="7" customWidth="1"/>
    <col min="6184" max="6184" width="15" style="7" customWidth="1"/>
    <col min="6185" max="6185" width="13.5703125" style="7" customWidth="1"/>
    <col min="6186" max="6186" width="17.28515625" style="7" customWidth="1"/>
    <col min="6187" max="6187" width="18" style="7" customWidth="1"/>
    <col min="6188" max="6427" width="9.140625" style="7"/>
    <col min="6428" max="6428" width="20.28515625" style="7" customWidth="1"/>
    <col min="6429" max="6429" width="15.5703125" style="7" customWidth="1"/>
    <col min="6430" max="6430" width="17.28515625" style="7" customWidth="1"/>
    <col min="6431" max="6431" width="16.7109375" style="7" customWidth="1"/>
    <col min="6432" max="6432" width="17.42578125" style="7" customWidth="1"/>
    <col min="6433" max="6435" width="18" style="7" customWidth="1"/>
    <col min="6436" max="6436" width="18.28515625" style="7" customWidth="1"/>
    <col min="6437" max="6437" width="17.5703125" style="7" customWidth="1"/>
    <col min="6438" max="6438" width="13" style="7" customWidth="1"/>
    <col min="6439" max="6439" width="17.28515625" style="7" customWidth="1"/>
    <col min="6440" max="6440" width="15" style="7" customWidth="1"/>
    <col min="6441" max="6441" width="13.5703125" style="7" customWidth="1"/>
    <col min="6442" max="6442" width="17.28515625" style="7" customWidth="1"/>
    <col min="6443" max="6443" width="18" style="7" customWidth="1"/>
    <col min="6444" max="6683" width="9.140625" style="7"/>
    <col min="6684" max="6684" width="20.28515625" style="7" customWidth="1"/>
    <col min="6685" max="6685" width="15.5703125" style="7" customWidth="1"/>
    <col min="6686" max="6686" width="17.28515625" style="7" customWidth="1"/>
    <col min="6687" max="6687" width="16.7109375" style="7" customWidth="1"/>
    <col min="6688" max="6688" width="17.42578125" style="7" customWidth="1"/>
    <col min="6689" max="6691" width="18" style="7" customWidth="1"/>
    <col min="6692" max="6692" width="18.28515625" style="7" customWidth="1"/>
    <col min="6693" max="6693" width="17.5703125" style="7" customWidth="1"/>
    <col min="6694" max="6694" width="13" style="7" customWidth="1"/>
    <col min="6695" max="6695" width="17.28515625" style="7" customWidth="1"/>
    <col min="6696" max="6696" width="15" style="7" customWidth="1"/>
    <col min="6697" max="6697" width="13.5703125" style="7" customWidth="1"/>
    <col min="6698" max="6698" width="17.28515625" style="7" customWidth="1"/>
    <col min="6699" max="6699" width="18" style="7" customWidth="1"/>
    <col min="6700" max="6939" width="9.140625" style="7"/>
    <col min="6940" max="6940" width="20.28515625" style="7" customWidth="1"/>
    <col min="6941" max="6941" width="15.5703125" style="7" customWidth="1"/>
    <col min="6942" max="6942" width="17.28515625" style="7" customWidth="1"/>
    <col min="6943" max="6943" width="16.7109375" style="7" customWidth="1"/>
    <col min="6944" max="6944" width="17.42578125" style="7" customWidth="1"/>
    <col min="6945" max="6947" width="18" style="7" customWidth="1"/>
    <col min="6948" max="6948" width="18.28515625" style="7" customWidth="1"/>
    <col min="6949" max="6949" width="17.5703125" style="7" customWidth="1"/>
    <col min="6950" max="6950" width="13" style="7" customWidth="1"/>
    <col min="6951" max="6951" width="17.28515625" style="7" customWidth="1"/>
    <col min="6952" max="6952" width="15" style="7" customWidth="1"/>
    <col min="6953" max="6953" width="13.5703125" style="7" customWidth="1"/>
    <col min="6954" max="6954" width="17.28515625" style="7" customWidth="1"/>
    <col min="6955" max="6955" width="18" style="7" customWidth="1"/>
    <col min="6956" max="7195" width="9.140625" style="7"/>
    <col min="7196" max="7196" width="20.28515625" style="7" customWidth="1"/>
    <col min="7197" max="7197" width="15.5703125" style="7" customWidth="1"/>
    <col min="7198" max="7198" width="17.28515625" style="7" customWidth="1"/>
    <col min="7199" max="7199" width="16.7109375" style="7" customWidth="1"/>
    <col min="7200" max="7200" width="17.42578125" style="7" customWidth="1"/>
    <col min="7201" max="7203" width="18" style="7" customWidth="1"/>
    <col min="7204" max="7204" width="18.28515625" style="7" customWidth="1"/>
    <col min="7205" max="7205" width="17.5703125" style="7" customWidth="1"/>
    <col min="7206" max="7206" width="13" style="7" customWidth="1"/>
    <col min="7207" max="7207" width="17.28515625" style="7" customWidth="1"/>
    <col min="7208" max="7208" width="15" style="7" customWidth="1"/>
    <col min="7209" max="7209" width="13.5703125" style="7" customWidth="1"/>
    <col min="7210" max="7210" width="17.28515625" style="7" customWidth="1"/>
    <col min="7211" max="7211" width="18" style="7" customWidth="1"/>
    <col min="7212" max="7451" width="9.140625" style="7"/>
    <col min="7452" max="7452" width="20.28515625" style="7" customWidth="1"/>
    <col min="7453" max="7453" width="15.5703125" style="7" customWidth="1"/>
    <col min="7454" max="7454" width="17.28515625" style="7" customWidth="1"/>
    <col min="7455" max="7455" width="16.7109375" style="7" customWidth="1"/>
    <col min="7456" max="7456" width="17.42578125" style="7" customWidth="1"/>
    <col min="7457" max="7459" width="18" style="7" customWidth="1"/>
    <col min="7460" max="7460" width="18.28515625" style="7" customWidth="1"/>
    <col min="7461" max="7461" width="17.5703125" style="7" customWidth="1"/>
    <col min="7462" max="7462" width="13" style="7" customWidth="1"/>
    <col min="7463" max="7463" width="17.28515625" style="7" customWidth="1"/>
    <col min="7464" max="7464" width="15" style="7" customWidth="1"/>
    <col min="7465" max="7465" width="13.5703125" style="7" customWidth="1"/>
    <col min="7466" max="7466" width="17.28515625" style="7" customWidth="1"/>
    <col min="7467" max="7467" width="18" style="7" customWidth="1"/>
    <col min="7468" max="7707" width="9.140625" style="7"/>
    <col min="7708" max="7708" width="20.28515625" style="7" customWidth="1"/>
    <col min="7709" max="7709" width="15.5703125" style="7" customWidth="1"/>
    <col min="7710" max="7710" width="17.28515625" style="7" customWidth="1"/>
    <col min="7711" max="7711" width="16.7109375" style="7" customWidth="1"/>
    <col min="7712" max="7712" width="17.42578125" style="7" customWidth="1"/>
    <col min="7713" max="7715" width="18" style="7" customWidth="1"/>
    <col min="7716" max="7716" width="18.28515625" style="7" customWidth="1"/>
    <col min="7717" max="7717" width="17.5703125" style="7" customWidth="1"/>
    <col min="7718" max="7718" width="13" style="7" customWidth="1"/>
    <col min="7719" max="7719" width="17.28515625" style="7" customWidth="1"/>
    <col min="7720" max="7720" width="15" style="7" customWidth="1"/>
    <col min="7721" max="7721" width="13.5703125" style="7" customWidth="1"/>
    <col min="7722" max="7722" width="17.28515625" style="7" customWidth="1"/>
    <col min="7723" max="7723" width="18" style="7" customWidth="1"/>
    <col min="7724" max="7963" width="9.140625" style="7"/>
    <col min="7964" max="7964" width="20.28515625" style="7" customWidth="1"/>
    <col min="7965" max="7965" width="15.5703125" style="7" customWidth="1"/>
    <col min="7966" max="7966" width="17.28515625" style="7" customWidth="1"/>
    <col min="7967" max="7967" width="16.7109375" style="7" customWidth="1"/>
    <col min="7968" max="7968" width="17.42578125" style="7" customWidth="1"/>
    <col min="7969" max="7971" width="18" style="7" customWidth="1"/>
    <col min="7972" max="7972" width="18.28515625" style="7" customWidth="1"/>
    <col min="7973" max="7973" width="17.5703125" style="7" customWidth="1"/>
    <col min="7974" max="7974" width="13" style="7" customWidth="1"/>
    <col min="7975" max="7975" width="17.28515625" style="7" customWidth="1"/>
    <col min="7976" max="7976" width="15" style="7" customWidth="1"/>
    <col min="7977" max="7977" width="13.5703125" style="7" customWidth="1"/>
    <col min="7978" max="7978" width="17.28515625" style="7" customWidth="1"/>
    <col min="7979" max="7979" width="18" style="7" customWidth="1"/>
    <col min="7980" max="8219" width="9.140625" style="7"/>
    <col min="8220" max="8220" width="20.28515625" style="7" customWidth="1"/>
    <col min="8221" max="8221" width="15.5703125" style="7" customWidth="1"/>
    <col min="8222" max="8222" width="17.28515625" style="7" customWidth="1"/>
    <col min="8223" max="8223" width="16.7109375" style="7" customWidth="1"/>
    <col min="8224" max="8224" width="17.42578125" style="7" customWidth="1"/>
    <col min="8225" max="8227" width="18" style="7" customWidth="1"/>
    <col min="8228" max="8228" width="18.28515625" style="7" customWidth="1"/>
    <col min="8229" max="8229" width="17.5703125" style="7" customWidth="1"/>
    <col min="8230" max="8230" width="13" style="7" customWidth="1"/>
    <col min="8231" max="8231" width="17.28515625" style="7" customWidth="1"/>
    <col min="8232" max="8232" width="15" style="7" customWidth="1"/>
    <col min="8233" max="8233" width="13.5703125" style="7" customWidth="1"/>
    <col min="8234" max="8234" width="17.28515625" style="7" customWidth="1"/>
    <col min="8235" max="8235" width="18" style="7" customWidth="1"/>
    <col min="8236" max="8475" width="9.140625" style="7"/>
    <col min="8476" max="8476" width="20.28515625" style="7" customWidth="1"/>
    <col min="8477" max="8477" width="15.5703125" style="7" customWidth="1"/>
    <col min="8478" max="8478" width="17.28515625" style="7" customWidth="1"/>
    <col min="8479" max="8479" width="16.7109375" style="7" customWidth="1"/>
    <col min="8480" max="8480" width="17.42578125" style="7" customWidth="1"/>
    <col min="8481" max="8483" width="18" style="7" customWidth="1"/>
    <col min="8484" max="8484" width="18.28515625" style="7" customWidth="1"/>
    <col min="8485" max="8485" width="17.5703125" style="7" customWidth="1"/>
    <col min="8486" max="8486" width="13" style="7" customWidth="1"/>
    <col min="8487" max="8487" width="17.28515625" style="7" customWidth="1"/>
    <col min="8488" max="8488" width="15" style="7" customWidth="1"/>
    <col min="8489" max="8489" width="13.5703125" style="7" customWidth="1"/>
    <col min="8490" max="8490" width="17.28515625" style="7" customWidth="1"/>
    <col min="8491" max="8491" width="18" style="7" customWidth="1"/>
    <col min="8492" max="8731" width="9.140625" style="7"/>
    <col min="8732" max="8732" width="20.28515625" style="7" customWidth="1"/>
    <col min="8733" max="8733" width="15.5703125" style="7" customWidth="1"/>
    <col min="8734" max="8734" width="17.28515625" style="7" customWidth="1"/>
    <col min="8735" max="8735" width="16.7109375" style="7" customWidth="1"/>
    <col min="8736" max="8736" width="17.42578125" style="7" customWidth="1"/>
    <col min="8737" max="8739" width="18" style="7" customWidth="1"/>
    <col min="8740" max="8740" width="18.28515625" style="7" customWidth="1"/>
    <col min="8741" max="8741" width="17.5703125" style="7" customWidth="1"/>
    <col min="8742" max="8742" width="13" style="7" customWidth="1"/>
    <col min="8743" max="8743" width="17.28515625" style="7" customWidth="1"/>
    <col min="8744" max="8744" width="15" style="7" customWidth="1"/>
    <col min="8745" max="8745" width="13.5703125" style="7" customWidth="1"/>
    <col min="8746" max="8746" width="17.28515625" style="7" customWidth="1"/>
    <col min="8747" max="8747" width="18" style="7" customWidth="1"/>
    <col min="8748" max="8987" width="9.140625" style="7"/>
    <col min="8988" max="8988" width="20.28515625" style="7" customWidth="1"/>
    <col min="8989" max="8989" width="15.5703125" style="7" customWidth="1"/>
    <col min="8990" max="8990" width="17.28515625" style="7" customWidth="1"/>
    <col min="8991" max="8991" width="16.7109375" style="7" customWidth="1"/>
    <col min="8992" max="8992" width="17.42578125" style="7" customWidth="1"/>
    <col min="8993" max="8995" width="18" style="7" customWidth="1"/>
    <col min="8996" max="8996" width="18.28515625" style="7" customWidth="1"/>
    <col min="8997" max="8997" width="17.5703125" style="7" customWidth="1"/>
    <col min="8998" max="8998" width="13" style="7" customWidth="1"/>
    <col min="8999" max="8999" width="17.28515625" style="7" customWidth="1"/>
    <col min="9000" max="9000" width="15" style="7" customWidth="1"/>
    <col min="9001" max="9001" width="13.5703125" style="7" customWidth="1"/>
    <col min="9002" max="9002" width="17.28515625" style="7" customWidth="1"/>
    <col min="9003" max="9003" width="18" style="7" customWidth="1"/>
    <col min="9004" max="9243" width="9.140625" style="7"/>
    <col min="9244" max="9244" width="20.28515625" style="7" customWidth="1"/>
    <col min="9245" max="9245" width="15.5703125" style="7" customWidth="1"/>
    <col min="9246" max="9246" width="17.28515625" style="7" customWidth="1"/>
    <col min="9247" max="9247" width="16.7109375" style="7" customWidth="1"/>
    <col min="9248" max="9248" width="17.42578125" style="7" customWidth="1"/>
    <col min="9249" max="9251" width="18" style="7" customWidth="1"/>
    <col min="9252" max="9252" width="18.28515625" style="7" customWidth="1"/>
    <col min="9253" max="9253" width="17.5703125" style="7" customWidth="1"/>
    <col min="9254" max="9254" width="13" style="7" customWidth="1"/>
    <col min="9255" max="9255" width="17.28515625" style="7" customWidth="1"/>
    <col min="9256" max="9256" width="15" style="7" customWidth="1"/>
    <col min="9257" max="9257" width="13.5703125" style="7" customWidth="1"/>
    <col min="9258" max="9258" width="17.28515625" style="7" customWidth="1"/>
    <col min="9259" max="9259" width="18" style="7" customWidth="1"/>
    <col min="9260" max="9499" width="9.140625" style="7"/>
    <col min="9500" max="9500" width="20.28515625" style="7" customWidth="1"/>
    <col min="9501" max="9501" width="15.5703125" style="7" customWidth="1"/>
    <col min="9502" max="9502" width="17.28515625" style="7" customWidth="1"/>
    <col min="9503" max="9503" width="16.7109375" style="7" customWidth="1"/>
    <col min="9504" max="9504" width="17.42578125" style="7" customWidth="1"/>
    <col min="9505" max="9507" width="18" style="7" customWidth="1"/>
    <col min="9508" max="9508" width="18.28515625" style="7" customWidth="1"/>
    <col min="9509" max="9509" width="17.5703125" style="7" customWidth="1"/>
    <col min="9510" max="9510" width="13" style="7" customWidth="1"/>
    <col min="9511" max="9511" width="17.28515625" style="7" customWidth="1"/>
    <col min="9512" max="9512" width="15" style="7" customWidth="1"/>
    <col min="9513" max="9513" width="13.5703125" style="7" customWidth="1"/>
    <col min="9514" max="9514" width="17.28515625" style="7" customWidth="1"/>
    <col min="9515" max="9515" width="18" style="7" customWidth="1"/>
    <col min="9516" max="9755" width="9.140625" style="7"/>
    <col min="9756" max="9756" width="20.28515625" style="7" customWidth="1"/>
    <col min="9757" max="9757" width="15.5703125" style="7" customWidth="1"/>
    <col min="9758" max="9758" width="17.28515625" style="7" customWidth="1"/>
    <col min="9759" max="9759" width="16.7109375" style="7" customWidth="1"/>
    <col min="9760" max="9760" width="17.42578125" style="7" customWidth="1"/>
    <col min="9761" max="9763" width="18" style="7" customWidth="1"/>
    <col min="9764" max="9764" width="18.28515625" style="7" customWidth="1"/>
    <col min="9765" max="9765" width="17.5703125" style="7" customWidth="1"/>
    <col min="9766" max="9766" width="13" style="7" customWidth="1"/>
    <col min="9767" max="9767" width="17.28515625" style="7" customWidth="1"/>
    <col min="9768" max="9768" width="15" style="7" customWidth="1"/>
    <col min="9769" max="9769" width="13.5703125" style="7" customWidth="1"/>
    <col min="9770" max="9770" width="17.28515625" style="7" customWidth="1"/>
    <col min="9771" max="9771" width="18" style="7" customWidth="1"/>
    <col min="9772" max="10011" width="9.140625" style="7"/>
    <col min="10012" max="10012" width="20.28515625" style="7" customWidth="1"/>
    <col min="10013" max="10013" width="15.5703125" style="7" customWidth="1"/>
    <col min="10014" max="10014" width="17.28515625" style="7" customWidth="1"/>
    <col min="10015" max="10015" width="16.7109375" style="7" customWidth="1"/>
    <col min="10016" max="10016" width="17.42578125" style="7" customWidth="1"/>
    <col min="10017" max="10019" width="18" style="7" customWidth="1"/>
    <col min="10020" max="10020" width="18.28515625" style="7" customWidth="1"/>
    <col min="10021" max="10021" width="17.5703125" style="7" customWidth="1"/>
    <col min="10022" max="10022" width="13" style="7" customWidth="1"/>
    <col min="10023" max="10023" width="17.28515625" style="7" customWidth="1"/>
    <col min="10024" max="10024" width="15" style="7" customWidth="1"/>
    <col min="10025" max="10025" width="13.5703125" style="7" customWidth="1"/>
    <col min="10026" max="10026" width="17.28515625" style="7" customWidth="1"/>
    <col min="10027" max="10027" width="18" style="7" customWidth="1"/>
    <col min="10028" max="10267" width="9.140625" style="7"/>
    <col min="10268" max="10268" width="20.28515625" style="7" customWidth="1"/>
    <col min="10269" max="10269" width="15.5703125" style="7" customWidth="1"/>
    <col min="10270" max="10270" width="17.28515625" style="7" customWidth="1"/>
    <col min="10271" max="10271" width="16.7109375" style="7" customWidth="1"/>
    <col min="10272" max="10272" width="17.42578125" style="7" customWidth="1"/>
    <col min="10273" max="10275" width="18" style="7" customWidth="1"/>
    <col min="10276" max="10276" width="18.28515625" style="7" customWidth="1"/>
    <col min="10277" max="10277" width="17.5703125" style="7" customWidth="1"/>
    <col min="10278" max="10278" width="13" style="7" customWidth="1"/>
    <col min="10279" max="10279" width="17.28515625" style="7" customWidth="1"/>
    <col min="10280" max="10280" width="15" style="7" customWidth="1"/>
    <col min="10281" max="10281" width="13.5703125" style="7" customWidth="1"/>
    <col min="10282" max="10282" width="17.28515625" style="7" customWidth="1"/>
    <col min="10283" max="10283" width="18" style="7" customWidth="1"/>
    <col min="10284" max="10523" width="9.140625" style="7"/>
    <col min="10524" max="10524" width="20.28515625" style="7" customWidth="1"/>
    <col min="10525" max="10525" width="15.5703125" style="7" customWidth="1"/>
    <col min="10526" max="10526" width="17.28515625" style="7" customWidth="1"/>
    <col min="10527" max="10527" width="16.7109375" style="7" customWidth="1"/>
    <col min="10528" max="10528" width="17.42578125" style="7" customWidth="1"/>
    <col min="10529" max="10531" width="18" style="7" customWidth="1"/>
    <col min="10532" max="10532" width="18.28515625" style="7" customWidth="1"/>
    <col min="10533" max="10533" width="17.5703125" style="7" customWidth="1"/>
    <col min="10534" max="10534" width="13" style="7" customWidth="1"/>
    <col min="10535" max="10535" width="17.28515625" style="7" customWidth="1"/>
    <col min="10536" max="10536" width="15" style="7" customWidth="1"/>
    <col min="10537" max="10537" width="13.5703125" style="7" customWidth="1"/>
    <col min="10538" max="10538" width="17.28515625" style="7" customWidth="1"/>
    <col min="10539" max="10539" width="18" style="7" customWidth="1"/>
    <col min="10540" max="10779" width="9.140625" style="7"/>
    <col min="10780" max="10780" width="20.28515625" style="7" customWidth="1"/>
    <col min="10781" max="10781" width="15.5703125" style="7" customWidth="1"/>
    <col min="10782" max="10782" width="17.28515625" style="7" customWidth="1"/>
    <col min="10783" max="10783" width="16.7109375" style="7" customWidth="1"/>
    <col min="10784" max="10784" width="17.42578125" style="7" customWidth="1"/>
    <col min="10785" max="10787" width="18" style="7" customWidth="1"/>
    <col min="10788" max="10788" width="18.28515625" style="7" customWidth="1"/>
    <col min="10789" max="10789" width="17.5703125" style="7" customWidth="1"/>
    <col min="10790" max="10790" width="13" style="7" customWidth="1"/>
    <col min="10791" max="10791" width="17.28515625" style="7" customWidth="1"/>
    <col min="10792" max="10792" width="15" style="7" customWidth="1"/>
    <col min="10793" max="10793" width="13.5703125" style="7" customWidth="1"/>
    <col min="10794" max="10794" width="17.28515625" style="7" customWidth="1"/>
    <col min="10795" max="10795" width="18" style="7" customWidth="1"/>
    <col min="10796" max="11035" width="9.140625" style="7"/>
    <col min="11036" max="11036" width="20.28515625" style="7" customWidth="1"/>
    <col min="11037" max="11037" width="15.5703125" style="7" customWidth="1"/>
    <col min="11038" max="11038" width="17.28515625" style="7" customWidth="1"/>
    <col min="11039" max="11039" width="16.7109375" style="7" customWidth="1"/>
    <col min="11040" max="11040" width="17.42578125" style="7" customWidth="1"/>
    <col min="11041" max="11043" width="18" style="7" customWidth="1"/>
    <col min="11044" max="11044" width="18.28515625" style="7" customWidth="1"/>
    <col min="11045" max="11045" width="17.5703125" style="7" customWidth="1"/>
    <col min="11046" max="11046" width="13" style="7" customWidth="1"/>
    <col min="11047" max="11047" width="17.28515625" style="7" customWidth="1"/>
    <col min="11048" max="11048" width="15" style="7" customWidth="1"/>
    <col min="11049" max="11049" width="13.5703125" style="7" customWidth="1"/>
    <col min="11050" max="11050" width="17.28515625" style="7" customWidth="1"/>
    <col min="11051" max="11051" width="18" style="7" customWidth="1"/>
    <col min="11052" max="11291" width="9.140625" style="7"/>
    <col min="11292" max="11292" width="20.28515625" style="7" customWidth="1"/>
    <col min="11293" max="11293" width="15.5703125" style="7" customWidth="1"/>
    <col min="11294" max="11294" width="17.28515625" style="7" customWidth="1"/>
    <col min="11295" max="11295" width="16.7109375" style="7" customWidth="1"/>
    <col min="11296" max="11296" width="17.42578125" style="7" customWidth="1"/>
    <col min="11297" max="11299" width="18" style="7" customWidth="1"/>
    <col min="11300" max="11300" width="18.28515625" style="7" customWidth="1"/>
    <col min="11301" max="11301" width="17.5703125" style="7" customWidth="1"/>
    <col min="11302" max="11302" width="13" style="7" customWidth="1"/>
    <col min="11303" max="11303" width="17.28515625" style="7" customWidth="1"/>
    <col min="11304" max="11304" width="15" style="7" customWidth="1"/>
    <col min="11305" max="11305" width="13.5703125" style="7" customWidth="1"/>
    <col min="11306" max="11306" width="17.28515625" style="7" customWidth="1"/>
    <col min="11307" max="11307" width="18" style="7" customWidth="1"/>
    <col min="11308" max="11547" width="9.140625" style="7"/>
    <col min="11548" max="11548" width="20.28515625" style="7" customWidth="1"/>
    <col min="11549" max="11549" width="15.5703125" style="7" customWidth="1"/>
    <col min="11550" max="11550" width="17.28515625" style="7" customWidth="1"/>
    <col min="11551" max="11551" width="16.7109375" style="7" customWidth="1"/>
    <col min="11552" max="11552" width="17.42578125" style="7" customWidth="1"/>
    <col min="11553" max="11555" width="18" style="7" customWidth="1"/>
    <col min="11556" max="11556" width="18.28515625" style="7" customWidth="1"/>
    <col min="11557" max="11557" width="17.5703125" style="7" customWidth="1"/>
    <col min="11558" max="11558" width="13" style="7" customWidth="1"/>
    <col min="11559" max="11559" width="17.28515625" style="7" customWidth="1"/>
    <col min="11560" max="11560" width="15" style="7" customWidth="1"/>
    <col min="11561" max="11561" width="13.5703125" style="7" customWidth="1"/>
    <col min="11562" max="11562" width="17.28515625" style="7" customWidth="1"/>
    <col min="11563" max="11563" width="18" style="7" customWidth="1"/>
    <col min="11564" max="11803" width="9.140625" style="7"/>
    <col min="11804" max="11804" width="20.28515625" style="7" customWidth="1"/>
    <col min="11805" max="11805" width="15.5703125" style="7" customWidth="1"/>
    <col min="11806" max="11806" width="17.28515625" style="7" customWidth="1"/>
    <col min="11807" max="11807" width="16.7109375" style="7" customWidth="1"/>
    <col min="11808" max="11808" width="17.42578125" style="7" customWidth="1"/>
    <col min="11809" max="11811" width="18" style="7" customWidth="1"/>
    <col min="11812" max="11812" width="18.28515625" style="7" customWidth="1"/>
    <col min="11813" max="11813" width="17.5703125" style="7" customWidth="1"/>
    <col min="11814" max="11814" width="13" style="7" customWidth="1"/>
    <col min="11815" max="11815" width="17.28515625" style="7" customWidth="1"/>
    <col min="11816" max="11816" width="15" style="7" customWidth="1"/>
    <col min="11817" max="11817" width="13.5703125" style="7" customWidth="1"/>
    <col min="11818" max="11818" width="17.28515625" style="7" customWidth="1"/>
    <col min="11819" max="11819" width="18" style="7" customWidth="1"/>
    <col min="11820" max="12059" width="9.140625" style="7"/>
    <col min="12060" max="12060" width="20.28515625" style="7" customWidth="1"/>
    <col min="12061" max="12061" width="15.5703125" style="7" customWidth="1"/>
    <col min="12062" max="12062" width="17.28515625" style="7" customWidth="1"/>
    <col min="12063" max="12063" width="16.7109375" style="7" customWidth="1"/>
    <col min="12064" max="12064" width="17.42578125" style="7" customWidth="1"/>
    <col min="12065" max="12067" width="18" style="7" customWidth="1"/>
    <col min="12068" max="12068" width="18.28515625" style="7" customWidth="1"/>
    <col min="12069" max="12069" width="17.5703125" style="7" customWidth="1"/>
    <col min="12070" max="12070" width="13" style="7" customWidth="1"/>
    <col min="12071" max="12071" width="17.28515625" style="7" customWidth="1"/>
    <col min="12072" max="12072" width="15" style="7" customWidth="1"/>
    <col min="12073" max="12073" width="13.5703125" style="7" customWidth="1"/>
    <col min="12074" max="12074" width="17.28515625" style="7" customWidth="1"/>
    <col min="12075" max="12075" width="18" style="7" customWidth="1"/>
    <col min="12076" max="12315" width="9.140625" style="7"/>
    <col min="12316" max="12316" width="20.28515625" style="7" customWidth="1"/>
    <col min="12317" max="12317" width="15.5703125" style="7" customWidth="1"/>
    <col min="12318" max="12318" width="17.28515625" style="7" customWidth="1"/>
    <col min="12319" max="12319" width="16.7109375" style="7" customWidth="1"/>
    <col min="12320" max="12320" width="17.42578125" style="7" customWidth="1"/>
    <col min="12321" max="12323" width="18" style="7" customWidth="1"/>
    <col min="12324" max="12324" width="18.28515625" style="7" customWidth="1"/>
    <col min="12325" max="12325" width="17.5703125" style="7" customWidth="1"/>
    <col min="12326" max="12326" width="13" style="7" customWidth="1"/>
    <col min="12327" max="12327" width="17.28515625" style="7" customWidth="1"/>
    <col min="12328" max="12328" width="15" style="7" customWidth="1"/>
    <col min="12329" max="12329" width="13.5703125" style="7" customWidth="1"/>
    <col min="12330" max="12330" width="17.28515625" style="7" customWidth="1"/>
    <col min="12331" max="12331" width="18" style="7" customWidth="1"/>
    <col min="12332" max="12571" width="9.140625" style="7"/>
    <col min="12572" max="12572" width="20.28515625" style="7" customWidth="1"/>
    <col min="12573" max="12573" width="15.5703125" style="7" customWidth="1"/>
    <col min="12574" max="12574" width="17.28515625" style="7" customWidth="1"/>
    <col min="12575" max="12575" width="16.7109375" style="7" customWidth="1"/>
    <col min="12576" max="12576" width="17.42578125" style="7" customWidth="1"/>
    <col min="12577" max="12579" width="18" style="7" customWidth="1"/>
    <col min="12580" max="12580" width="18.28515625" style="7" customWidth="1"/>
    <col min="12581" max="12581" width="17.5703125" style="7" customWidth="1"/>
    <col min="12582" max="12582" width="13" style="7" customWidth="1"/>
    <col min="12583" max="12583" width="17.28515625" style="7" customWidth="1"/>
    <col min="12584" max="12584" width="15" style="7" customWidth="1"/>
    <col min="12585" max="12585" width="13.5703125" style="7" customWidth="1"/>
    <col min="12586" max="12586" width="17.28515625" style="7" customWidth="1"/>
    <col min="12587" max="12587" width="18" style="7" customWidth="1"/>
    <col min="12588" max="12827" width="9.140625" style="7"/>
    <col min="12828" max="12828" width="20.28515625" style="7" customWidth="1"/>
    <col min="12829" max="12829" width="15.5703125" style="7" customWidth="1"/>
    <col min="12830" max="12830" width="17.28515625" style="7" customWidth="1"/>
    <col min="12831" max="12831" width="16.7109375" style="7" customWidth="1"/>
    <col min="12832" max="12832" width="17.42578125" style="7" customWidth="1"/>
    <col min="12833" max="12835" width="18" style="7" customWidth="1"/>
    <col min="12836" max="12836" width="18.28515625" style="7" customWidth="1"/>
    <col min="12837" max="12837" width="17.5703125" style="7" customWidth="1"/>
    <col min="12838" max="12838" width="13" style="7" customWidth="1"/>
    <col min="12839" max="12839" width="17.28515625" style="7" customWidth="1"/>
    <col min="12840" max="12840" width="15" style="7" customWidth="1"/>
    <col min="12841" max="12841" width="13.5703125" style="7" customWidth="1"/>
    <col min="12842" max="12842" width="17.28515625" style="7" customWidth="1"/>
    <col min="12843" max="12843" width="18" style="7" customWidth="1"/>
    <col min="12844" max="13083" width="9.140625" style="7"/>
    <col min="13084" max="13084" width="20.28515625" style="7" customWidth="1"/>
    <col min="13085" max="13085" width="15.5703125" style="7" customWidth="1"/>
    <col min="13086" max="13086" width="17.28515625" style="7" customWidth="1"/>
    <col min="13087" max="13087" width="16.7109375" style="7" customWidth="1"/>
    <col min="13088" max="13088" width="17.42578125" style="7" customWidth="1"/>
    <col min="13089" max="13091" width="18" style="7" customWidth="1"/>
    <col min="13092" max="13092" width="18.28515625" style="7" customWidth="1"/>
    <col min="13093" max="13093" width="17.5703125" style="7" customWidth="1"/>
    <col min="13094" max="13094" width="13" style="7" customWidth="1"/>
    <col min="13095" max="13095" width="17.28515625" style="7" customWidth="1"/>
    <col min="13096" max="13096" width="15" style="7" customWidth="1"/>
    <col min="13097" max="13097" width="13.5703125" style="7" customWidth="1"/>
    <col min="13098" max="13098" width="17.28515625" style="7" customWidth="1"/>
    <col min="13099" max="13099" width="18" style="7" customWidth="1"/>
    <col min="13100" max="13339" width="9.140625" style="7"/>
    <col min="13340" max="13340" width="20.28515625" style="7" customWidth="1"/>
    <col min="13341" max="13341" width="15.5703125" style="7" customWidth="1"/>
    <col min="13342" max="13342" width="17.28515625" style="7" customWidth="1"/>
    <col min="13343" max="13343" width="16.7109375" style="7" customWidth="1"/>
    <col min="13344" max="13344" width="17.42578125" style="7" customWidth="1"/>
    <col min="13345" max="13347" width="18" style="7" customWidth="1"/>
    <col min="13348" max="13348" width="18.28515625" style="7" customWidth="1"/>
    <col min="13349" max="13349" width="17.5703125" style="7" customWidth="1"/>
    <col min="13350" max="13350" width="13" style="7" customWidth="1"/>
    <col min="13351" max="13351" width="17.28515625" style="7" customWidth="1"/>
    <col min="13352" max="13352" width="15" style="7" customWidth="1"/>
    <col min="13353" max="13353" width="13.5703125" style="7" customWidth="1"/>
    <col min="13354" max="13354" width="17.28515625" style="7" customWidth="1"/>
    <col min="13355" max="13355" width="18" style="7" customWidth="1"/>
    <col min="13356" max="13595" width="9.140625" style="7"/>
    <col min="13596" max="13596" width="20.28515625" style="7" customWidth="1"/>
    <col min="13597" max="13597" width="15.5703125" style="7" customWidth="1"/>
    <col min="13598" max="13598" width="17.28515625" style="7" customWidth="1"/>
    <col min="13599" max="13599" width="16.7109375" style="7" customWidth="1"/>
    <col min="13600" max="13600" width="17.42578125" style="7" customWidth="1"/>
    <col min="13601" max="13603" width="18" style="7" customWidth="1"/>
    <col min="13604" max="13604" width="18.28515625" style="7" customWidth="1"/>
    <col min="13605" max="13605" width="17.5703125" style="7" customWidth="1"/>
    <col min="13606" max="13606" width="13" style="7" customWidth="1"/>
    <col min="13607" max="13607" width="17.28515625" style="7" customWidth="1"/>
    <col min="13608" max="13608" width="15" style="7" customWidth="1"/>
    <col min="13609" max="13609" width="13.5703125" style="7" customWidth="1"/>
    <col min="13610" max="13610" width="17.28515625" style="7" customWidth="1"/>
    <col min="13611" max="13611" width="18" style="7" customWidth="1"/>
    <col min="13612" max="13851" width="9.140625" style="7"/>
    <col min="13852" max="13852" width="20.28515625" style="7" customWidth="1"/>
    <col min="13853" max="13853" width="15.5703125" style="7" customWidth="1"/>
    <col min="13854" max="13854" width="17.28515625" style="7" customWidth="1"/>
    <col min="13855" max="13855" width="16.7109375" style="7" customWidth="1"/>
    <col min="13856" max="13856" width="17.42578125" style="7" customWidth="1"/>
    <col min="13857" max="13859" width="18" style="7" customWidth="1"/>
    <col min="13860" max="13860" width="18.28515625" style="7" customWidth="1"/>
    <col min="13861" max="13861" width="17.5703125" style="7" customWidth="1"/>
    <col min="13862" max="13862" width="13" style="7" customWidth="1"/>
    <col min="13863" max="13863" width="17.28515625" style="7" customWidth="1"/>
    <col min="13864" max="13864" width="15" style="7" customWidth="1"/>
    <col min="13865" max="13865" width="13.5703125" style="7" customWidth="1"/>
    <col min="13866" max="13866" width="17.28515625" style="7" customWidth="1"/>
    <col min="13867" max="13867" width="18" style="7" customWidth="1"/>
    <col min="13868" max="14107" width="9.140625" style="7"/>
    <col min="14108" max="14108" width="20.28515625" style="7" customWidth="1"/>
    <col min="14109" max="14109" width="15.5703125" style="7" customWidth="1"/>
    <col min="14110" max="14110" width="17.28515625" style="7" customWidth="1"/>
    <col min="14111" max="14111" width="16.7109375" style="7" customWidth="1"/>
    <col min="14112" max="14112" width="17.42578125" style="7" customWidth="1"/>
    <col min="14113" max="14115" width="18" style="7" customWidth="1"/>
    <col min="14116" max="14116" width="18.28515625" style="7" customWidth="1"/>
    <col min="14117" max="14117" width="17.5703125" style="7" customWidth="1"/>
    <col min="14118" max="14118" width="13" style="7" customWidth="1"/>
    <col min="14119" max="14119" width="17.28515625" style="7" customWidth="1"/>
    <col min="14120" max="14120" width="15" style="7" customWidth="1"/>
    <col min="14121" max="14121" width="13.5703125" style="7" customWidth="1"/>
    <col min="14122" max="14122" width="17.28515625" style="7" customWidth="1"/>
    <col min="14123" max="14123" width="18" style="7" customWidth="1"/>
    <col min="14124" max="14363" width="9.140625" style="7"/>
    <col min="14364" max="14364" width="20.28515625" style="7" customWidth="1"/>
    <col min="14365" max="14365" width="15.5703125" style="7" customWidth="1"/>
    <col min="14366" max="14366" width="17.28515625" style="7" customWidth="1"/>
    <col min="14367" max="14367" width="16.7109375" style="7" customWidth="1"/>
    <col min="14368" max="14368" width="17.42578125" style="7" customWidth="1"/>
    <col min="14369" max="14371" width="18" style="7" customWidth="1"/>
    <col min="14372" max="14372" width="18.28515625" style="7" customWidth="1"/>
    <col min="14373" max="14373" width="17.5703125" style="7" customWidth="1"/>
    <col min="14374" max="14374" width="13" style="7" customWidth="1"/>
    <col min="14375" max="14375" width="17.28515625" style="7" customWidth="1"/>
    <col min="14376" max="14376" width="15" style="7" customWidth="1"/>
    <col min="14377" max="14377" width="13.5703125" style="7" customWidth="1"/>
    <col min="14378" max="14378" width="17.28515625" style="7" customWidth="1"/>
    <col min="14379" max="14379" width="18" style="7" customWidth="1"/>
    <col min="14380" max="14619" width="9.140625" style="7"/>
    <col min="14620" max="14620" width="20.28515625" style="7" customWidth="1"/>
    <col min="14621" max="14621" width="15.5703125" style="7" customWidth="1"/>
    <col min="14622" max="14622" width="17.28515625" style="7" customWidth="1"/>
    <col min="14623" max="14623" width="16.7109375" style="7" customWidth="1"/>
    <col min="14624" max="14624" width="17.42578125" style="7" customWidth="1"/>
    <col min="14625" max="14627" width="18" style="7" customWidth="1"/>
    <col min="14628" max="14628" width="18.28515625" style="7" customWidth="1"/>
    <col min="14629" max="14629" width="17.5703125" style="7" customWidth="1"/>
    <col min="14630" max="14630" width="13" style="7" customWidth="1"/>
    <col min="14631" max="14631" width="17.28515625" style="7" customWidth="1"/>
    <col min="14632" max="14632" width="15" style="7" customWidth="1"/>
    <col min="14633" max="14633" width="13.5703125" style="7" customWidth="1"/>
    <col min="14634" max="14634" width="17.28515625" style="7" customWidth="1"/>
    <col min="14635" max="14635" width="18" style="7" customWidth="1"/>
    <col min="14636" max="14875" width="9.140625" style="7"/>
    <col min="14876" max="14876" width="20.28515625" style="7" customWidth="1"/>
    <col min="14877" max="14877" width="15.5703125" style="7" customWidth="1"/>
    <col min="14878" max="14878" width="17.28515625" style="7" customWidth="1"/>
    <col min="14879" max="14879" width="16.7109375" style="7" customWidth="1"/>
    <col min="14880" max="14880" width="17.42578125" style="7" customWidth="1"/>
    <col min="14881" max="14883" width="18" style="7" customWidth="1"/>
    <col min="14884" max="14884" width="18.28515625" style="7" customWidth="1"/>
    <col min="14885" max="14885" width="17.5703125" style="7" customWidth="1"/>
    <col min="14886" max="14886" width="13" style="7" customWidth="1"/>
    <col min="14887" max="14887" width="17.28515625" style="7" customWidth="1"/>
    <col min="14888" max="14888" width="15" style="7" customWidth="1"/>
    <col min="14889" max="14889" width="13.5703125" style="7" customWidth="1"/>
    <col min="14890" max="14890" width="17.28515625" style="7" customWidth="1"/>
    <col min="14891" max="14891" width="18" style="7" customWidth="1"/>
    <col min="14892" max="15131" width="9.140625" style="7"/>
    <col min="15132" max="15132" width="20.28515625" style="7" customWidth="1"/>
    <col min="15133" max="15133" width="15.5703125" style="7" customWidth="1"/>
    <col min="15134" max="15134" width="17.28515625" style="7" customWidth="1"/>
    <col min="15135" max="15135" width="16.7109375" style="7" customWidth="1"/>
    <col min="15136" max="15136" width="17.42578125" style="7" customWidth="1"/>
    <col min="15137" max="15139" width="18" style="7" customWidth="1"/>
    <col min="15140" max="15140" width="18.28515625" style="7" customWidth="1"/>
    <col min="15141" max="15141" width="17.5703125" style="7" customWidth="1"/>
    <col min="15142" max="15142" width="13" style="7" customWidth="1"/>
    <col min="15143" max="15143" width="17.28515625" style="7" customWidth="1"/>
    <col min="15144" max="15144" width="15" style="7" customWidth="1"/>
    <col min="15145" max="15145" width="13.5703125" style="7" customWidth="1"/>
    <col min="15146" max="15146" width="17.28515625" style="7" customWidth="1"/>
    <col min="15147" max="15147" width="18" style="7" customWidth="1"/>
    <col min="15148" max="15387" width="9.140625" style="7"/>
    <col min="15388" max="15388" width="20.28515625" style="7" customWidth="1"/>
    <col min="15389" max="15389" width="15.5703125" style="7" customWidth="1"/>
    <col min="15390" max="15390" width="17.28515625" style="7" customWidth="1"/>
    <col min="15391" max="15391" width="16.7109375" style="7" customWidth="1"/>
    <col min="15392" max="15392" width="17.42578125" style="7" customWidth="1"/>
    <col min="15393" max="15395" width="18" style="7" customWidth="1"/>
    <col min="15396" max="15396" width="18.28515625" style="7" customWidth="1"/>
    <col min="15397" max="15397" width="17.5703125" style="7" customWidth="1"/>
    <col min="15398" max="15398" width="13" style="7" customWidth="1"/>
    <col min="15399" max="15399" width="17.28515625" style="7" customWidth="1"/>
    <col min="15400" max="15400" width="15" style="7" customWidth="1"/>
    <col min="15401" max="15401" width="13.5703125" style="7" customWidth="1"/>
    <col min="15402" max="15402" width="17.28515625" style="7" customWidth="1"/>
    <col min="15403" max="15403" width="18" style="7" customWidth="1"/>
    <col min="15404" max="15643" width="9.140625" style="7"/>
    <col min="15644" max="15644" width="20.28515625" style="7" customWidth="1"/>
    <col min="15645" max="15645" width="15.5703125" style="7" customWidth="1"/>
    <col min="15646" max="15646" width="17.28515625" style="7" customWidth="1"/>
    <col min="15647" max="15647" width="16.7109375" style="7" customWidth="1"/>
    <col min="15648" max="15648" width="17.42578125" style="7" customWidth="1"/>
    <col min="15649" max="15651" width="18" style="7" customWidth="1"/>
    <col min="15652" max="15652" width="18.28515625" style="7" customWidth="1"/>
    <col min="15653" max="15653" width="17.5703125" style="7" customWidth="1"/>
    <col min="15654" max="15654" width="13" style="7" customWidth="1"/>
    <col min="15655" max="15655" width="17.28515625" style="7" customWidth="1"/>
    <col min="15656" max="15656" width="15" style="7" customWidth="1"/>
    <col min="15657" max="15657" width="13.5703125" style="7" customWidth="1"/>
    <col min="15658" max="15658" width="17.28515625" style="7" customWidth="1"/>
    <col min="15659" max="15659" width="18" style="7" customWidth="1"/>
    <col min="15660" max="15899" width="9.140625" style="7"/>
    <col min="15900" max="15900" width="20.28515625" style="7" customWidth="1"/>
    <col min="15901" max="15901" width="15.5703125" style="7" customWidth="1"/>
    <col min="15902" max="15902" width="17.28515625" style="7" customWidth="1"/>
    <col min="15903" max="15903" width="16.7109375" style="7" customWidth="1"/>
    <col min="15904" max="15904" width="17.42578125" style="7" customWidth="1"/>
    <col min="15905" max="15907" width="18" style="7" customWidth="1"/>
    <col min="15908" max="15908" width="18.28515625" style="7" customWidth="1"/>
    <col min="15909" max="15909" width="17.5703125" style="7" customWidth="1"/>
    <col min="15910" max="15910" width="13" style="7" customWidth="1"/>
    <col min="15911" max="15911" width="17.28515625" style="7" customWidth="1"/>
    <col min="15912" max="15912" width="15" style="7" customWidth="1"/>
    <col min="15913" max="15913" width="13.5703125" style="7" customWidth="1"/>
    <col min="15914" max="15914" width="17.28515625" style="7" customWidth="1"/>
    <col min="15915" max="15915" width="18" style="7" customWidth="1"/>
    <col min="15916" max="16155" width="9.140625" style="7"/>
    <col min="16156" max="16156" width="20.28515625" style="7" customWidth="1"/>
    <col min="16157" max="16157" width="15.5703125" style="7" customWidth="1"/>
    <col min="16158" max="16158" width="17.28515625" style="7" customWidth="1"/>
    <col min="16159" max="16159" width="16.7109375" style="7" customWidth="1"/>
    <col min="16160" max="16160" width="17.42578125" style="7" customWidth="1"/>
    <col min="16161" max="16163" width="18" style="7" customWidth="1"/>
    <col min="16164" max="16164" width="18.28515625" style="7" customWidth="1"/>
    <col min="16165" max="16165" width="17.5703125" style="7" customWidth="1"/>
    <col min="16166" max="16166" width="13" style="7" customWidth="1"/>
    <col min="16167" max="16167" width="17.28515625" style="7" customWidth="1"/>
    <col min="16168" max="16168" width="15" style="7" customWidth="1"/>
    <col min="16169" max="16169" width="13.5703125" style="7" customWidth="1"/>
    <col min="16170" max="16170" width="17.28515625" style="7" customWidth="1"/>
    <col min="16171" max="16171" width="18" style="7" customWidth="1"/>
    <col min="16172" max="16384" width="9.140625" style="7"/>
  </cols>
  <sheetData>
    <row r="1" spans="1:45">
      <c r="A1" s="347" t="s">
        <v>89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  <c r="AO1" s="347"/>
      <c r="AP1" s="347"/>
      <c r="AQ1" s="347"/>
      <c r="AR1" s="347"/>
      <c r="AS1" s="347"/>
    </row>
    <row r="2" spans="1:45">
      <c r="A2" s="348" t="s">
        <v>90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348"/>
      <c r="AP2" s="348"/>
      <c r="AQ2" s="348"/>
      <c r="AR2" s="348"/>
      <c r="AS2" s="348"/>
    </row>
    <row r="3" spans="1:45">
      <c r="A3" s="349" t="s">
        <v>642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49"/>
      <c r="V3" s="349"/>
      <c r="W3" s="349"/>
      <c r="X3" s="349"/>
      <c r="Y3" s="349"/>
      <c r="Z3" s="349"/>
      <c r="AA3" s="349"/>
      <c r="AB3" s="349"/>
      <c r="AC3" s="349"/>
      <c r="AD3" s="349"/>
      <c r="AE3" s="349"/>
      <c r="AF3" s="349"/>
      <c r="AG3" s="349"/>
      <c r="AH3" s="349"/>
      <c r="AI3" s="349"/>
      <c r="AJ3" s="349"/>
      <c r="AK3" s="349"/>
      <c r="AL3" s="349"/>
      <c r="AM3" s="349"/>
      <c r="AN3" s="349"/>
      <c r="AO3" s="349"/>
      <c r="AP3" s="349"/>
      <c r="AQ3" s="349"/>
      <c r="AR3" s="349"/>
      <c r="AS3" s="349"/>
    </row>
    <row r="4" spans="1:45" s="8" customFormat="1" ht="297.75" customHeight="1">
      <c r="A4" s="350" t="s">
        <v>91</v>
      </c>
      <c r="B4" s="343" t="s">
        <v>92</v>
      </c>
      <c r="C4" s="350" t="s">
        <v>93</v>
      </c>
      <c r="D4" s="342" t="s">
        <v>5</v>
      </c>
      <c r="E4" s="321"/>
      <c r="F4" s="342" t="s">
        <v>2</v>
      </c>
      <c r="G4" s="321"/>
      <c r="H4" s="342" t="s">
        <v>10</v>
      </c>
      <c r="I4" s="321"/>
      <c r="J4" s="342" t="s">
        <v>11</v>
      </c>
      <c r="K4" s="321"/>
      <c r="L4" s="342" t="s">
        <v>9</v>
      </c>
      <c r="M4" s="321"/>
      <c r="N4" s="342" t="s">
        <v>14</v>
      </c>
      <c r="O4" s="321"/>
      <c r="P4" s="342" t="s">
        <v>15</v>
      </c>
      <c r="Q4" s="321"/>
      <c r="R4" s="342" t="s">
        <v>3</v>
      </c>
      <c r="S4" s="321"/>
      <c r="T4" s="342" t="s">
        <v>12</v>
      </c>
      <c r="U4" s="321"/>
      <c r="V4" s="342" t="s">
        <v>94</v>
      </c>
      <c r="W4" s="321"/>
      <c r="X4" s="342" t="s">
        <v>95</v>
      </c>
      <c r="Y4" s="321"/>
      <c r="Z4" s="342" t="s">
        <v>96</v>
      </c>
      <c r="AA4" s="321"/>
      <c r="AB4" s="342" t="s">
        <v>97</v>
      </c>
      <c r="AC4" s="321"/>
      <c r="AD4" s="342" t="s">
        <v>98</v>
      </c>
      <c r="AE4" s="321"/>
      <c r="AF4" s="342" t="s">
        <v>99</v>
      </c>
      <c r="AG4" s="321"/>
      <c r="AH4" s="342" t="s">
        <v>100</v>
      </c>
      <c r="AI4" s="321"/>
      <c r="AJ4" s="342" t="s">
        <v>101</v>
      </c>
      <c r="AK4" s="321"/>
      <c r="AL4" s="342" t="s">
        <v>102</v>
      </c>
      <c r="AM4" s="321"/>
      <c r="AN4" s="342" t="s">
        <v>103</v>
      </c>
      <c r="AO4" s="321"/>
      <c r="AP4" s="342" t="s">
        <v>104</v>
      </c>
      <c r="AQ4" s="321"/>
      <c r="AR4" s="342" t="s">
        <v>105</v>
      </c>
      <c r="AS4" s="321"/>
    </row>
    <row r="5" spans="1:45" s="8" customFormat="1" ht="18" customHeight="1">
      <c r="A5" s="351"/>
      <c r="B5" s="344"/>
      <c r="C5" s="351"/>
      <c r="D5" s="342">
        <v>1</v>
      </c>
      <c r="E5" s="321"/>
      <c r="F5" s="342">
        <f>D5+1</f>
        <v>2</v>
      </c>
      <c r="G5" s="321"/>
      <c r="H5" s="342">
        <f>F5+1</f>
        <v>3</v>
      </c>
      <c r="I5" s="321"/>
      <c r="J5" s="342">
        <f>H5+1</f>
        <v>4</v>
      </c>
      <c r="K5" s="321"/>
      <c r="L5" s="342">
        <f t="shared" ref="L5" si="0">J5+1</f>
        <v>5</v>
      </c>
      <c r="M5" s="321"/>
      <c r="N5" s="342">
        <f t="shared" ref="N5" si="1">L5+1</f>
        <v>6</v>
      </c>
      <c r="O5" s="321"/>
      <c r="P5" s="342">
        <f t="shared" ref="P5" si="2">N5+1</f>
        <v>7</v>
      </c>
      <c r="Q5" s="321"/>
      <c r="R5" s="342">
        <v>8</v>
      </c>
      <c r="S5" s="321"/>
      <c r="T5" s="342">
        <v>9</v>
      </c>
      <c r="U5" s="321"/>
      <c r="V5" s="342">
        <v>10</v>
      </c>
      <c r="W5" s="321"/>
      <c r="X5" s="342">
        <v>11</v>
      </c>
      <c r="Y5" s="321"/>
      <c r="Z5" s="342">
        <v>12</v>
      </c>
      <c r="AA5" s="321"/>
      <c r="AB5" s="342">
        <v>13</v>
      </c>
      <c r="AC5" s="321"/>
      <c r="AD5" s="342">
        <v>14</v>
      </c>
      <c r="AE5" s="321"/>
      <c r="AF5" s="342">
        <v>15</v>
      </c>
      <c r="AG5" s="321"/>
      <c r="AH5" s="342">
        <v>16</v>
      </c>
      <c r="AI5" s="321"/>
      <c r="AJ5" s="342">
        <v>17</v>
      </c>
      <c r="AK5" s="321"/>
      <c r="AL5" s="342">
        <v>18</v>
      </c>
      <c r="AM5" s="321"/>
      <c r="AN5" s="342">
        <v>19</v>
      </c>
      <c r="AO5" s="321"/>
      <c r="AP5" s="342">
        <v>20</v>
      </c>
      <c r="AQ5" s="321"/>
      <c r="AR5" s="342">
        <v>21</v>
      </c>
      <c r="AS5" s="321"/>
    </row>
    <row r="6" spans="1:45" s="8" customFormat="1">
      <c r="A6" s="352"/>
      <c r="B6" s="345"/>
      <c r="C6" s="352"/>
      <c r="D6" s="183" t="s">
        <v>106</v>
      </c>
      <c r="E6" s="183" t="s">
        <v>107</v>
      </c>
      <c r="F6" s="183" t="s">
        <v>106</v>
      </c>
      <c r="G6" s="183" t="s">
        <v>107</v>
      </c>
      <c r="H6" s="183" t="s">
        <v>106</v>
      </c>
      <c r="I6" s="183" t="s">
        <v>107</v>
      </c>
      <c r="J6" s="183" t="s">
        <v>106</v>
      </c>
      <c r="K6" s="183" t="s">
        <v>107</v>
      </c>
      <c r="L6" s="183" t="s">
        <v>106</v>
      </c>
      <c r="M6" s="183" t="s">
        <v>107</v>
      </c>
      <c r="N6" s="183" t="s">
        <v>106</v>
      </c>
      <c r="O6" s="183" t="s">
        <v>107</v>
      </c>
      <c r="P6" s="183" t="s">
        <v>106</v>
      </c>
      <c r="Q6" s="183" t="s">
        <v>107</v>
      </c>
      <c r="R6" s="183" t="s">
        <v>106</v>
      </c>
      <c r="S6" s="183" t="s">
        <v>107</v>
      </c>
      <c r="T6" s="183" t="s">
        <v>106</v>
      </c>
      <c r="U6" s="183" t="s">
        <v>107</v>
      </c>
      <c r="V6" s="183" t="s">
        <v>106</v>
      </c>
      <c r="W6" s="183" t="s">
        <v>107</v>
      </c>
      <c r="X6" s="183" t="s">
        <v>106</v>
      </c>
      <c r="Y6" s="183" t="s">
        <v>107</v>
      </c>
      <c r="Z6" s="183" t="s">
        <v>106</v>
      </c>
      <c r="AA6" s="183" t="s">
        <v>107</v>
      </c>
      <c r="AB6" s="183" t="s">
        <v>106</v>
      </c>
      <c r="AC6" s="183" t="s">
        <v>107</v>
      </c>
      <c r="AD6" s="183" t="s">
        <v>106</v>
      </c>
      <c r="AE6" s="183" t="s">
        <v>107</v>
      </c>
      <c r="AF6" s="183" t="s">
        <v>106</v>
      </c>
      <c r="AG6" s="183" t="s">
        <v>107</v>
      </c>
      <c r="AH6" s="183" t="s">
        <v>106</v>
      </c>
      <c r="AI6" s="183" t="s">
        <v>107</v>
      </c>
      <c r="AJ6" s="183" t="s">
        <v>106</v>
      </c>
      <c r="AK6" s="183" t="s">
        <v>107</v>
      </c>
      <c r="AL6" s="183" t="s">
        <v>106</v>
      </c>
      <c r="AM6" s="183" t="s">
        <v>107</v>
      </c>
      <c r="AN6" s="183" t="s">
        <v>106</v>
      </c>
      <c r="AO6" s="183" t="s">
        <v>107</v>
      </c>
      <c r="AP6" s="183" t="s">
        <v>106</v>
      </c>
      <c r="AQ6" s="183" t="s">
        <v>107</v>
      </c>
      <c r="AR6" s="183" t="s">
        <v>106</v>
      </c>
      <c r="AS6" s="183" t="s">
        <v>107</v>
      </c>
    </row>
    <row r="7" spans="1:45" s="9" customFormat="1" ht="25.5">
      <c r="A7" s="343" t="s">
        <v>108</v>
      </c>
      <c r="B7" s="343" t="s">
        <v>109</v>
      </c>
      <c r="C7" s="184" t="s">
        <v>643</v>
      </c>
      <c r="D7" s="185">
        <v>94</v>
      </c>
      <c r="E7" s="185">
        <v>141</v>
      </c>
      <c r="F7" s="185">
        <v>473</v>
      </c>
      <c r="G7" s="185">
        <v>567</v>
      </c>
      <c r="H7" s="185">
        <v>106</v>
      </c>
      <c r="I7" s="185">
        <v>89</v>
      </c>
      <c r="J7" s="185">
        <v>628</v>
      </c>
      <c r="K7" s="185">
        <v>290</v>
      </c>
      <c r="L7" s="185">
        <v>15</v>
      </c>
      <c r="M7" s="185">
        <v>20</v>
      </c>
      <c r="N7" s="185">
        <v>6</v>
      </c>
      <c r="O7" s="185">
        <v>3</v>
      </c>
      <c r="P7" s="185">
        <v>0</v>
      </c>
      <c r="Q7" s="185">
        <v>0</v>
      </c>
      <c r="R7" s="185">
        <v>1</v>
      </c>
      <c r="S7" s="185">
        <v>7</v>
      </c>
      <c r="T7" s="185">
        <v>40</v>
      </c>
      <c r="U7" s="185">
        <v>51</v>
      </c>
      <c r="V7" s="185">
        <v>25</v>
      </c>
      <c r="W7" s="185">
        <v>20</v>
      </c>
      <c r="X7" s="185">
        <v>30</v>
      </c>
      <c r="Y7" s="185">
        <v>43</v>
      </c>
      <c r="Z7" s="185">
        <v>107</v>
      </c>
      <c r="AA7" s="185">
        <v>137</v>
      </c>
      <c r="AB7" s="185">
        <v>32</v>
      </c>
      <c r="AC7" s="185">
        <v>24</v>
      </c>
      <c r="AD7" s="185">
        <v>9</v>
      </c>
      <c r="AE7" s="185">
        <v>9</v>
      </c>
      <c r="AF7" s="185">
        <v>10</v>
      </c>
      <c r="AG7" s="185">
        <v>14</v>
      </c>
      <c r="AH7" s="185">
        <v>17</v>
      </c>
      <c r="AI7" s="185">
        <v>29</v>
      </c>
      <c r="AJ7" s="185">
        <v>59</v>
      </c>
      <c r="AK7" s="185">
        <v>93</v>
      </c>
      <c r="AL7" s="185">
        <v>3</v>
      </c>
      <c r="AM7" s="185">
        <v>12</v>
      </c>
      <c r="AN7" s="185">
        <v>1</v>
      </c>
      <c r="AO7" s="185">
        <v>2</v>
      </c>
      <c r="AP7" s="185">
        <v>1</v>
      </c>
      <c r="AQ7" s="185">
        <v>2</v>
      </c>
      <c r="AR7" s="185">
        <v>0</v>
      </c>
      <c r="AS7" s="185">
        <v>0</v>
      </c>
    </row>
    <row r="8" spans="1:45" s="9" customFormat="1" ht="51">
      <c r="A8" s="344"/>
      <c r="B8" s="344"/>
      <c r="C8" s="184" t="s">
        <v>644</v>
      </c>
      <c r="D8" s="185">
        <v>20</v>
      </c>
      <c r="E8" s="185">
        <v>25</v>
      </c>
      <c r="F8" s="185">
        <v>132</v>
      </c>
      <c r="G8" s="185">
        <v>190</v>
      </c>
      <c r="H8" s="185">
        <v>0</v>
      </c>
      <c r="I8" s="185">
        <v>0</v>
      </c>
      <c r="J8" s="185">
        <v>0</v>
      </c>
      <c r="K8" s="185">
        <v>0</v>
      </c>
      <c r="L8" s="185">
        <v>0</v>
      </c>
      <c r="M8" s="185">
        <v>0</v>
      </c>
      <c r="N8" s="185">
        <v>0</v>
      </c>
      <c r="O8" s="185">
        <v>0</v>
      </c>
      <c r="P8" s="185">
        <v>0</v>
      </c>
      <c r="Q8" s="185">
        <v>0</v>
      </c>
      <c r="R8" s="185">
        <v>0</v>
      </c>
      <c r="S8" s="185">
        <v>0</v>
      </c>
      <c r="T8" s="185">
        <v>0</v>
      </c>
      <c r="U8" s="185">
        <v>0</v>
      </c>
      <c r="V8" s="185">
        <v>0</v>
      </c>
      <c r="W8" s="185">
        <v>0</v>
      </c>
      <c r="X8" s="185">
        <v>5</v>
      </c>
      <c r="Y8" s="185">
        <v>4</v>
      </c>
      <c r="Z8" s="185">
        <v>5</v>
      </c>
      <c r="AA8" s="185">
        <v>4</v>
      </c>
      <c r="AB8" s="185">
        <v>0</v>
      </c>
      <c r="AC8" s="185">
        <v>0</v>
      </c>
      <c r="AD8" s="185">
        <v>0</v>
      </c>
      <c r="AE8" s="185">
        <v>0</v>
      </c>
      <c r="AF8" s="185">
        <v>1</v>
      </c>
      <c r="AG8" s="185">
        <v>0</v>
      </c>
      <c r="AH8" s="185">
        <v>0</v>
      </c>
      <c r="AI8" s="185">
        <v>0</v>
      </c>
      <c r="AJ8" s="185">
        <v>5</v>
      </c>
      <c r="AK8" s="185">
        <v>6</v>
      </c>
      <c r="AL8" s="185">
        <v>0</v>
      </c>
      <c r="AM8" s="185">
        <v>0</v>
      </c>
      <c r="AN8" s="185">
        <v>0</v>
      </c>
      <c r="AO8" s="185">
        <v>0</v>
      </c>
      <c r="AP8" s="185">
        <v>0</v>
      </c>
      <c r="AQ8" s="185">
        <v>0</v>
      </c>
      <c r="AR8" s="185">
        <v>0</v>
      </c>
      <c r="AS8" s="185">
        <v>0</v>
      </c>
    </row>
    <row r="9" spans="1:45" s="9" customFormat="1" ht="63.75">
      <c r="A9" s="344"/>
      <c r="B9" s="346"/>
      <c r="C9" s="186" t="s">
        <v>645</v>
      </c>
      <c r="D9" s="187" t="s">
        <v>110</v>
      </c>
      <c r="E9" s="187" t="s">
        <v>110</v>
      </c>
      <c r="F9" s="187">
        <v>2</v>
      </c>
      <c r="G9" s="187">
        <v>1</v>
      </c>
      <c r="H9" s="187">
        <v>88</v>
      </c>
      <c r="I9" s="187">
        <v>121</v>
      </c>
      <c r="J9" s="187">
        <v>207</v>
      </c>
      <c r="K9" s="187">
        <v>104</v>
      </c>
      <c r="L9" s="187">
        <v>0</v>
      </c>
      <c r="M9" s="187">
        <v>3</v>
      </c>
      <c r="N9" s="187">
        <v>0</v>
      </c>
      <c r="O9" s="187">
        <v>0</v>
      </c>
      <c r="P9" s="187">
        <v>0</v>
      </c>
      <c r="Q9" s="187">
        <v>0</v>
      </c>
      <c r="R9" s="187">
        <v>0</v>
      </c>
      <c r="S9" s="187">
        <v>0</v>
      </c>
      <c r="T9" s="187">
        <v>9</v>
      </c>
      <c r="U9" s="187">
        <v>11</v>
      </c>
      <c r="V9" s="187">
        <v>10</v>
      </c>
      <c r="W9" s="187">
        <v>7</v>
      </c>
      <c r="X9" s="187">
        <v>0</v>
      </c>
      <c r="Y9" s="187">
        <v>0</v>
      </c>
      <c r="Z9" s="187">
        <v>0</v>
      </c>
      <c r="AA9" s="187">
        <v>0</v>
      </c>
      <c r="AB9" s="187">
        <v>0</v>
      </c>
      <c r="AC9" s="187">
        <v>0</v>
      </c>
      <c r="AD9" s="187">
        <v>0</v>
      </c>
      <c r="AE9" s="187">
        <v>0</v>
      </c>
      <c r="AF9" s="187">
        <v>0</v>
      </c>
      <c r="AG9" s="187">
        <v>0</v>
      </c>
      <c r="AH9" s="187">
        <v>0</v>
      </c>
      <c r="AI9" s="187">
        <v>0</v>
      </c>
      <c r="AJ9" s="187">
        <v>0</v>
      </c>
      <c r="AK9" s="187">
        <v>0</v>
      </c>
      <c r="AL9" s="187">
        <v>0</v>
      </c>
      <c r="AM9" s="187">
        <v>0</v>
      </c>
      <c r="AN9" s="187">
        <v>0</v>
      </c>
      <c r="AO9" s="187">
        <v>0</v>
      </c>
      <c r="AP9" s="187">
        <v>0</v>
      </c>
      <c r="AQ9" s="187">
        <v>0</v>
      </c>
      <c r="AR9" s="187">
        <v>0</v>
      </c>
      <c r="AS9" s="187">
        <v>0</v>
      </c>
    </row>
    <row r="10" spans="1:45" s="10" customFormat="1" ht="25.5">
      <c r="A10" s="344"/>
      <c r="B10" s="343" t="s">
        <v>111</v>
      </c>
      <c r="C10" s="184" t="s">
        <v>646</v>
      </c>
      <c r="D10" s="185">
        <v>29</v>
      </c>
      <c r="E10" s="185">
        <v>55</v>
      </c>
      <c r="F10" s="185">
        <v>214</v>
      </c>
      <c r="G10" s="185">
        <v>329</v>
      </c>
      <c r="H10" s="185">
        <v>97</v>
      </c>
      <c r="I10" s="185">
        <v>79</v>
      </c>
      <c r="J10" s="185">
        <v>248</v>
      </c>
      <c r="K10" s="185">
        <v>140</v>
      </c>
      <c r="L10" s="185">
        <v>7</v>
      </c>
      <c r="M10" s="185">
        <v>11</v>
      </c>
      <c r="N10" s="185">
        <v>3</v>
      </c>
      <c r="O10" s="185">
        <v>2</v>
      </c>
      <c r="P10" s="188">
        <v>0</v>
      </c>
      <c r="Q10" s="188">
        <v>0</v>
      </c>
      <c r="R10" s="188">
        <v>0</v>
      </c>
      <c r="S10" s="188">
        <v>1</v>
      </c>
      <c r="T10" s="188">
        <v>26</v>
      </c>
      <c r="U10" s="188">
        <v>38</v>
      </c>
      <c r="V10" s="188">
        <v>12</v>
      </c>
      <c r="W10" s="188">
        <v>15</v>
      </c>
      <c r="X10" s="185">
        <v>0</v>
      </c>
      <c r="Y10" s="185">
        <v>0</v>
      </c>
      <c r="Z10" s="185">
        <v>0</v>
      </c>
      <c r="AA10" s="185">
        <v>0</v>
      </c>
      <c r="AB10" s="185">
        <v>0</v>
      </c>
      <c r="AC10" s="185">
        <v>0</v>
      </c>
      <c r="AD10" s="185">
        <v>3</v>
      </c>
      <c r="AE10" s="185">
        <v>6</v>
      </c>
      <c r="AF10" s="185">
        <v>3</v>
      </c>
      <c r="AG10" s="185">
        <v>2</v>
      </c>
      <c r="AH10" s="185">
        <v>10</v>
      </c>
      <c r="AI10" s="185">
        <v>8</v>
      </c>
      <c r="AJ10" s="185">
        <v>18</v>
      </c>
      <c r="AK10" s="185">
        <v>20</v>
      </c>
      <c r="AL10" s="185">
        <v>3</v>
      </c>
      <c r="AM10" s="185">
        <v>3</v>
      </c>
      <c r="AN10" s="185">
        <v>0</v>
      </c>
      <c r="AO10" s="185">
        <v>0</v>
      </c>
      <c r="AP10" s="185">
        <v>0</v>
      </c>
      <c r="AQ10" s="185">
        <v>0</v>
      </c>
      <c r="AR10" s="185">
        <v>0</v>
      </c>
      <c r="AS10" s="185">
        <v>0</v>
      </c>
    </row>
    <row r="11" spans="1:45" s="10" customFormat="1" ht="38.25">
      <c r="A11" s="344"/>
      <c r="B11" s="345"/>
      <c r="C11" s="184" t="s">
        <v>647</v>
      </c>
      <c r="D11" s="189" t="s">
        <v>110</v>
      </c>
      <c r="E11" s="189" t="s">
        <v>110</v>
      </c>
      <c r="F11" s="189" t="s">
        <v>110</v>
      </c>
      <c r="G11" s="189" t="s">
        <v>110</v>
      </c>
      <c r="H11" s="189" t="s">
        <v>110</v>
      </c>
      <c r="I11" s="189" t="s">
        <v>110</v>
      </c>
      <c r="J11" s="189" t="s">
        <v>110</v>
      </c>
      <c r="K11" s="189" t="s">
        <v>110</v>
      </c>
      <c r="L11" s="189" t="s">
        <v>112</v>
      </c>
      <c r="M11" s="189" t="s">
        <v>110</v>
      </c>
      <c r="N11" s="189" t="s">
        <v>112</v>
      </c>
      <c r="O11" s="189" t="s">
        <v>110</v>
      </c>
      <c r="P11" s="189" t="s">
        <v>110</v>
      </c>
      <c r="Q11" s="189" t="s">
        <v>110</v>
      </c>
      <c r="R11" s="189" t="s">
        <v>110</v>
      </c>
      <c r="S11" s="189" t="s">
        <v>110</v>
      </c>
      <c r="T11" s="189" t="s">
        <v>110</v>
      </c>
      <c r="U11" s="189" t="s">
        <v>110</v>
      </c>
      <c r="V11" s="189" t="s">
        <v>110</v>
      </c>
      <c r="W11" s="189" t="s">
        <v>110</v>
      </c>
      <c r="X11" s="189" t="s">
        <v>110</v>
      </c>
      <c r="Y11" s="189" t="s">
        <v>110</v>
      </c>
      <c r="Z11" s="189" t="s">
        <v>110</v>
      </c>
      <c r="AA11" s="189" t="s">
        <v>110</v>
      </c>
      <c r="AB11" s="189" t="s">
        <v>110</v>
      </c>
      <c r="AC11" s="189" t="s">
        <v>110</v>
      </c>
      <c r="AD11" s="189" t="s">
        <v>110</v>
      </c>
      <c r="AE11" s="189" t="s">
        <v>110</v>
      </c>
      <c r="AF11" s="189" t="s">
        <v>110</v>
      </c>
      <c r="AG11" s="189" t="s">
        <v>110</v>
      </c>
      <c r="AH11" s="189" t="s">
        <v>110</v>
      </c>
      <c r="AI11" s="189" t="s">
        <v>110</v>
      </c>
      <c r="AJ11" s="189" t="s">
        <v>110</v>
      </c>
      <c r="AK11" s="189" t="s">
        <v>110</v>
      </c>
      <c r="AL11" s="189" t="s">
        <v>110</v>
      </c>
      <c r="AM11" s="189" t="s">
        <v>110</v>
      </c>
      <c r="AN11" s="189" t="s">
        <v>110</v>
      </c>
      <c r="AO11" s="189" t="s">
        <v>110</v>
      </c>
      <c r="AP11" s="189" t="s">
        <v>110</v>
      </c>
      <c r="AQ11" s="189" t="s">
        <v>110</v>
      </c>
      <c r="AR11" s="189" t="s">
        <v>110</v>
      </c>
      <c r="AS11" s="189" t="s">
        <v>110</v>
      </c>
    </row>
    <row r="12" spans="1:45" s="10" customFormat="1" ht="38.25">
      <c r="A12" s="344"/>
      <c r="B12" s="343" t="s">
        <v>113</v>
      </c>
      <c r="C12" s="184" t="s">
        <v>648</v>
      </c>
      <c r="D12" s="185">
        <v>29</v>
      </c>
      <c r="E12" s="185">
        <v>37</v>
      </c>
      <c r="F12" s="185">
        <v>221</v>
      </c>
      <c r="G12" s="185">
        <v>245</v>
      </c>
      <c r="H12" s="185">
        <v>79</v>
      </c>
      <c r="I12" s="185">
        <v>66</v>
      </c>
      <c r="J12" s="185">
        <v>398</v>
      </c>
      <c r="K12" s="185">
        <v>154</v>
      </c>
      <c r="L12" s="185">
        <v>5</v>
      </c>
      <c r="M12" s="185">
        <v>6</v>
      </c>
      <c r="N12" s="185">
        <v>3</v>
      </c>
      <c r="O12" s="185">
        <v>2</v>
      </c>
      <c r="P12" s="188">
        <v>1</v>
      </c>
      <c r="Q12" s="188">
        <v>0</v>
      </c>
      <c r="R12" s="188">
        <v>1</v>
      </c>
      <c r="S12" s="188">
        <v>0</v>
      </c>
      <c r="T12" s="188">
        <v>26</v>
      </c>
      <c r="U12" s="188">
        <v>29</v>
      </c>
      <c r="V12" s="188">
        <v>2</v>
      </c>
      <c r="W12" s="188">
        <v>14</v>
      </c>
      <c r="X12" s="185">
        <v>15</v>
      </c>
      <c r="Y12" s="185">
        <v>12</v>
      </c>
      <c r="Z12" s="185">
        <v>54</v>
      </c>
      <c r="AA12" s="185">
        <v>47</v>
      </c>
      <c r="AB12" s="185">
        <v>3</v>
      </c>
      <c r="AC12" s="185">
        <v>4</v>
      </c>
      <c r="AD12" s="185">
        <v>3</v>
      </c>
      <c r="AE12" s="185">
        <v>3</v>
      </c>
      <c r="AF12" s="185">
        <v>7</v>
      </c>
      <c r="AG12" s="185">
        <v>1</v>
      </c>
      <c r="AH12" s="185">
        <v>49</v>
      </c>
      <c r="AI12" s="185">
        <v>30</v>
      </c>
      <c r="AJ12" s="185">
        <v>83</v>
      </c>
      <c r="AK12" s="185">
        <v>50</v>
      </c>
      <c r="AL12" s="185">
        <v>1</v>
      </c>
      <c r="AM12" s="185">
        <v>2</v>
      </c>
      <c r="AN12" s="185">
        <v>0</v>
      </c>
      <c r="AO12" s="185">
        <v>0</v>
      </c>
      <c r="AP12" s="185">
        <v>0</v>
      </c>
      <c r="AQ12" s="185">
        <v>0</v>
      </c>
      <c r="AR12" s="185">
        <v>0</v>
      </c>
      <c r="AS12" s="185">
        <v>0</v>
      </c>
    </row>
    <row r="13" spans="1:45" s="10" customFormat="1" ht="38.25">
      <c r="A13" s="344"/>
      <c r="B13" s="345"/>
      <c r="C13" s="184" t="s">
        <v>649</v>
      </c>
      <c r="D13" s="189" t="s">
        <v>110</v>
      </c>
      <c r="E13" s="189" t="s">
        <v>110</v>
      </c>
      <c r="F13" s="189" t="s">
        <v>110</v>
      </c>
      <c r="G13" s="189" t="s">
        <v>110</v>
      </c>
      <c r="H13" s="189" t="s">
        <v>110</v>
      </c>
      <c r="I13" s="189" t="s">
        <v>110</v>
      </c>
      <c r="J13" s="189" t="s">
        <v>110</v>
      </c>
      <c r="K13" s="189" t="s">
        <v>110</v>
      </c>
      <c r="L13" s="189" t="s">
        <v>112</v>
      </c>
      <c r="M13" s="189" t="s">
        <v>110</v>
      </c>
      <c r="N13" s="189" t="s">
        <v>112</v>
      </c>
      <c r="O13" s="189" t="s">
        <v>110</v>
      </c>
      <c r="P13" s="189" t="s">
        <v>110</v>
      </c>
      <c r="Q13" s="189" t="s">
        <v>110</v>
      </c>
      <c r="R13" s="189" t="s">
        <v>110</v>
      </c>
      <c r="S13" s="189" t="s">
        <v>110</v>
      </c>
      <c r="T13" s="189" t="s">
        <v>110</v>
      </c>
      <c r="U13" s="189" t="s">
        <v>110</v>
      </c>
      <c r="V13" s="189" t="s">
        <v>110</v>
      </c>
      <c r="W13" s="189" t="s">
        <v>110</v>
      </c>
      <c r="X13" s="189" t="s">
        <v>110</v>
      </c>
      <c r="Y13" s="189" t="s">
        <v>110</v>
      </c>
      <c r="Z13" s="189" t="s">
        <v>110</v>
      </c>
      <c r="AA13" s="189" t="s">
        <v>110</v>
      </c>
      <c r="AB13" s="189" t="s">
        <v>110</v>
      </c>
      <c r="AC13" s="189" t="s">
        <v>110</v>
      </c>
      <c r="AD13" s="189" t="s">
        <v>110</v>
      </c>
      <c r="AE13" s="189" t="s">
        <v>110</v>
      </c>
      <c r="AF13" s="189" t="s">
        <v>110</v>
      </c>
      <c r="AG13" s="189" t="s">
        <v>110</v>
      </c>
      <c r="AH13" s="189" t="s">
        <v>110</v>
      </c>
      <c r="AI13" s="189" t="s">
        <v>110</v>
      </c>
      <c r="AJ13" s="189" t="s">
        <v>110</v>
      </c>
      <c r="AK13" s="189" t="s">
        <v>110</v>
      </c>
      <c r="AL13" s="189" t="s">
        <v>110</v>
      </c>
      <c r="AM13" s="189" t="s">
        <v>110</v>
      </c>
      <c r="AN13" s="189" t="s">
        <v>110</v>
      </c>
      <c r="AO13" s="189" t="s">
        <v>110</v>
      </c>
      <c r="AP13" s="189" t="s">
        <v>110</v>
      </c>
      <c r="AQ13" s="189" t="s">
        <v>110</v>
      </c>
      <c r="AR13" s="189" t="s">
        <v>110</v>
      </c>
      <c r="AS13" s="189" t="s">
        <v>110</v>
      </c>
    </row>
    <row r="14" spans="1:45" s="10" customFormat="1" ht="38.25">
      <c r="A14" s="344"/>
      <c r="B14" s="190" t="s">
        <v>114</v>
      </c>
      <c r="C14" s="184" t="s">
        <v>650</v>
      </c>
      <c r="D14" s="185">
        <v>56</v>
      </c>
      <c r="E14" s="185">
        <v>90</v>
      </c>
      <c r="F14" s="185">
        <v>194</v>
      </c>
      <c r="G14" s="185">
        <v>430</v>
      </c>
      <c r="H14" s="185">
        <v>59</v>
      </c>
      <c r="I14" s="185">
        <v>88</v>
      </c>
      <c r="J14" s="185">
        <v>125</v>
      </c>
      <c r="K14" s="185">
        <v>89</v>
      </c>
      <c r="L14" s="185">
        <v>10</v>
      </c>
      <c r="M14" s="185">
        <v>15</v>
      </c>
      <c r="N14" s="185">
        <v>3</v>
      </c>
      <c r="O14" s="185">
        <v>2</v>
      </c>
      <c r="P14" s="188">
        <v>0</v>
      </c>
      <c r="Q14" s="188">
        <v>0</v>
      </c>
      <c r="R14" s="188">
        <v>0</v>
      </c>
      <c r="S14" s="188">
        <v>0</v>
      </c>
      <c r="T14" s="188">
        <v>19</v>
      </c>
      <c r="U14" s="188">
        <v>38</v>
      </c>
      <c r="V14" s="188">
        <v>7</v>
      </c>
      <c r="W14" s="188">
        <v>6</v>
      </c>
      <c r="X14" s="185">
        <v>4</v>
      </c>
      <c r="Y14" s="185">
        <v>9</v>
      </c>
      <c r="Z14" s="185">
        <v>20</v>
      </c>
      <c r="AA14" s="185">
        <v>30</v>
      </c>
      <c r="AB14" s="185">
        <v>1</v>
      </c>
      <c r="AC14" s="185">
        <v>5</v>
      </c>
      <c r="AD14" s="185">
        <v>2</v>
      </c>
      <c r="AE14" s="185">
        <v>3</v>
      </c>
      <c r="AF14" s="185">
        <v>8</v>
      </c>
      <c r="AG14" s="185">
        <v>15</v>
      </c>
      <c r="AH14" s="185">
        <v>2</v>
      </c>
      <c r="AI14" s="185">
        <v>7</v>
      </c>
      <c r="AJ14" s="185">
        <v>13</v>
      </c>
      <c r="AK14" s="185">
        <v>33</v>
      </c>
      <c r="AL14" s="185">
        <v>2</v>
      </c>
      <c r="AM14" s="185">
        <v>1</v>
      </c>
      <c r="AN14" s="185">
        <v>0</v>
      </c>
      <c r="AO14" s="185">
        <v>0</v>
      </c>
      <c r="AP14" s="185">
        <v>0</v>
      </c>
      <c r="AQ14" s="185">
        <v>0</v>
      </c>
      <c r="AR14" s="185">
        <v>0</v>
      </c>
      <c r="AS14" s="185">
        <v>0</v>
      </c>
    </row>
    <row r="15" spans="1:45" s="10" customFormat="1" ht="25.5">
      <c r="A15" s="344"/>
      <c r="B15" s="343" t="s">
        <v>115</v>
      </c>
      <c r="C15" s="184" t="s">
        <v>651</v>
      </c>
      <c r="D15" s="185">
        <v>41</v>
      </c>
      <c r="E15" s="185">
        <v>38</v>
      </c>
      <c r="F15" s="185">
        <v>254</v>
      </c>
      <c r="G15" s="185">
        <v>267</v>
      </c>
      <c r="H15" s="185">
        <v>88</v>
      </c>
      <c r="I15" s="185">
        <v>56</v>
      </c>
      <c r="J15" s="185">
        <v>369</v>
      </c>
      <c r="K15" s="185">
        <v>181</v>
      </c>
      <c r="L15" s="185">
        <v>6</v>
      </c>
      <c r="M15" s="185">
        <v>5</v>
      </c>
      <c r="N15" s="185">
        <v>2</v>
      </c>
      <c r="O15" s="185">
        <v>2</v>
      </c>
      <c r="P15" s="188">
        <v>0</v>
      </c>
      <c r="Q15" s="188">
        <v>0</v>
      </c>
      <c r="R15" s="188">
        <v>0</v>
      </c>
      <c r="S15" s="188">
        <v>1</v>
      </c>
      <c r="T15" s="188">
        <v>23</v>
      </c>
      <c r="U15" s="188">
        <v>27</v>
      </c>
      <c r="V15" s="188">
        <v>21</v>
      </c>
      <c r="W15" s="188">
        <v>19</v>
      </c>
      <c r="X15" s="185">
        <v>22</v>
      </c>
      <c r="Y15" s="185">
        <v>40</v>
      </c>
      <c r="Z15" s="185">
        <v>60</v>
      </c>
      <c r="AA15" s="185">
        <v>72</v>
      </c>
      <c r="AB15" s="185">
        <v>19</v>
      </c>
      <c r="AC15" s="185">
        <v>42</v>
      </c>
      <c r="AD15" s="185">
        <v>3</v>
      </c>
      <c r="AE15" s="185">
        <v>2</v>
      </c>
      <c r="AF15" s="185">
        <v>3</v>
      </c>
      <c r="AG15" s="185">
        <v>2</v>
      </c>
      <c r="AH15" s="185">
        <v>1</v>
      </c>
      <c r="AI15" s="185">
        <v>6</v>
      </c>
      <c r="AJ15" s="185">
        <v>7</v>
      </c>
      <c r="AK15" s="185">
        <v>14</v>
      </c>
      <c r="AL15" s="185">
        <v>1</v>
      </c>
      <c r="AM15" s="185">
        <v>1</v>
      </c>
      <c r="AN15" s="185">
        <v>1</v>
      </c>
      <c r="AO15" s="185">
        <v>0</v>
      </c>
      <c r="AP15" s="185">
        <v>3</v>
      </c>
      <c r="AQ15" s="185">
        <v>2</v>
      </c>
      <c r="AR15" s="185">
        <v>0</v>
      </c>
      <c r="AS15" s="185">
        <v>0</v>
      </c>
    </row>
    <row r="16" spans="1:45" s="10" customFormat="1" ht="51">
      <c r="A16" s="344"/>
      <c r="B16" s="344"/>
      <c r="C16" s="184" t="s">
        <v>652</v>
      </c>
      <c r="D16" s="185">
        <v>11</v>
      </c>
      <c r="E16" s="185">
        <v>14</v>
      </c>
      <c r="F16" s="185">
        <v>217</v>
      </c>
      <c r="G16" s="185">
        <v>128</v>
      </c>
      <c r="H16" s="185">
        <v>0</v>
      </c>
      <c r="I16" s="185">
        <v>0</v>
      </c>
      <c r="J16" s="185">
        <v>0</v>
      </c>
      <c r="K16" s="185">
        <v>0</v>
      </c>
      <c r="L16" s="185">
        <v>0</v>
      </c>
      <c r="M16" s="185">
        <v>0</v>
      </c>
      <c r="N16" s="185">
        <v>2</v>
      </c>
      <c r="O16" s="185">
        <v>3</v>
      </c>
      <c r="P16" s="185">
        <v>0</v>
      </c>
      <c r="Q16" s="185">
        <v>0</v>
      </c>
      <c r="R16" s="185">
        <v>0</v>
      </c>
      <c r="S16" s="185">
        <v>0</v>
      </c>
      <c r="T16" s="185">
        <v>0</v>
      </c>
      <c r="U16" s="185">
        <v>0</v>
      </c>
      <c r="V16" s="185">
        <v>0</v>
      </c>
      <c r="W16" s="185">
        <v>0</v>
      </c>
      <c r="X16" s="185">
        <v>0</v>
      </c>
      <c r="Y16" s="185">
        <v>0</v>
      </c>
      <c r="Z16" s="185">
        <v>0</v>
      </c>
      <c r="AA16" s="185">
        <v>0</v>
      </c>
      <c r="AB16" s="185">
        <v>0</v>
      </c>
      <c r="AC16" s="185">
        <v>0</v>
      </c>
      <c r="AD16" s="185">
        <v>5</v>
      </c>
      <c r="AE16" s="185">
        <v>5</v>
      </c>
      <c r="AF16" s="185">
        <v>0</v>
      </c>
      <c r="AG16" s="185">
        <v>0</v>
      </c>
      <c r="AH16" s="185">
        <v>0</v>
      </c>
      <c r="AI16" s="185">
        <v>0</v>
      </c>
      <c r="AJ16" s="185">
        <v>5</v>
      </c>
      <c r="AK16" s="185">
        <v>5</v>
      </c>
      <c r="AL16" s="185">
        <v>0</v>
      </c>
      <c r="AM16" s="185">
        <v>0</v>
      </c>
      <c r="AN16" s="185">
        <v>0</v>
      </c>
      <c r="AO16" s="185">
        <v>0</v>
      </c>
      <c r="AP16" s="185">
        <v>0</v>
      </c>
      <c r="AQ16" s="185">
        <v>0</v>
      </c>
      <c r="AR16" s="185">
        <v>0</v>
      </c>
      <c r="AS16" s="185">
        <v>0</v>
      </c>
    </row>
    <row r="17" spans="1:45" s="10" customFormat="1" ht="63.75">
      <c r="A17" s="344"/>
      <c r="B17" s="344"/>
      <c r="C17" s="186" t="s">
        <v>653</v>
      </c>
      <c r="D17" s="187" t="s">
        <v>110</v>
      </c>
      <c r="E17" s="187" t="s">
        <v>110</v>
      </c>
      <c r="F17" s="187">
        <v>0</v>
      </c>
      <c r="G17" s="187">
        <v>0</v>
      </c>
      <c r="H17" s="187">
        <v>137</v>
      </c>
      <c r="I17" s="187">
        <v>99</v>
      </c>
      <c r="J17" s="187">
        <v>804</v>
      </c>
      <c r="K17" s="187">
        <v>813</v>
      </c>
      <c r="L17" s="187">
        <v>1</v>
      </c>
      <c r="M17" s="187">
        <v>5</v>
      </c>
      <c r="N17" s="187">
        <v>0</v>
      </c>
      <c r="O17" s="187">
        <v>0</v>
      </c>
      <c r="P17" s="187">
        <v>0</v>
      </c>
      <c r="Q17" s="187">
        <v>0</v>
      </c>
      <c r="R17" s="187">
        <v>0</v>
      </c>
      <c r="S17" s="187">
        <v>0</v>
      </c>
      <c r="T17" s="187">
        <v>19</v>
      </c>
      <c r="U17" s="187">
        <v>25</v>
      </c>
      <c r="V17" s="187">
        <v>28</v>
      </c>
      <c r="W17" s="187">
        <v>28</v>
      </c>
      <c r="X17" s="187">
        <v>0</v>
      </c>
      <c r="Y17" s="187">
        <v>0</v>
      </c>
      <c r="Z17" s="187">
        <v>0</v>
      </c>
      <c r="AA17" s="187">
        <v>0</v>
      </c>
      <c r="AB17" s="187">
        <v>0</v>
      </c>
      <c r="AC17" s="187">
        <v>0</v>
      </c>
      <c r="AD17" s="187">
        <v>0</v>
      </c>
      <c r="AE17" s="187">
        <v>0</v>
      </c>
      <c r="AF17" s="187">
        <v>0</v>
      </c>
      <c r="AG17" s="187">
        <v>0</v>
      </c>
      <c r="AH17" s="187">
        <v>0</v>
      </c>
      <c r="AI17" s="187">
        <v>0</v>
      </c>
      <c r="AJ17" s="187">
        <v>0</v>
      </c>
      <c r="AK17" s="187">
        <v>0</v>
      </c>
      <c r="AL17" s="187">
        <v>0</v>
      </c>
      <c r="AM17" s="187">
        <v>0</v>
      </c>
      <c r="AN17" s="187">
        <v>0</v>
      </c>
      <c r="AO17" s="187">
        <v>0</v>
      </c>
      <c r="AP17" s="187">
        <v>0</v>
      </c>
      <c r="AQ17" s="187">
        <v>0</v>
      </c>
      <c r="AR17" s="187">
        <v>0</v>
      </c>
      <c r="AS17" s="187">
        <v>0</v>
      </c>
    </row>
    <row r="18" spans="1:45" s="10" customFormat="1" ht="51">
      <c r="A18" s="344"/>
      <c r="B18" s="344"/>
      <c r="C18" s="184" t="s">
        <v>654</v>
      </c>
      <c r="D18" s="185">
        <v>83</v>
      </c>
      <c r="E18" s="185">
        <v>35</v>
      </c>
      <c r="F18" s="185">
        <v>470</v>
      </c>
      <c r="G18" s="185">
        <v>239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4</v>
      </c>
      <c r="O18" s="185">
        <v>0</v>
      </c>
      <c r="P18" s="185">
        <v>0</v>
      </c>
      <c r="Q18" s="185">
        <v>0</v>
      </c>
      <c r="R18" s="185">
        <v>0</v>
      </c>
      <c r="S18" s="185">
        <v>0</v>
      </c>
      <c r="T18" s="185">
        <v>0</v>
      </c>
      <c r="U18" s="185">
        <v>0</v>
      </c>
      <c r="V18" s="185">
        <v>0</v>
      </c>
      <c r="W18" s="185">
        <v>0</v>
      </c>
      <c r="X18" s="185">
        <v>0</v>
      </c>
      <c r="Y18" s="185">
        <v>0</v>
      </c>
      <c r="Z18" s="185">
        <v>0</v>
      </c>
      <c r="AA18" s="185">
        <v>0</v>
      </c>
      <c r="AB18" s="185">
        <v>0</v>
      </c>
      <c r="AC18" s="185">
        <v>0</v>
      </c>
      <c r="AD18" s="185">
        <v>2</v>
      </c>
      <c r="AE18" s="185">
        <v>1</v>
      </c>
      <c r="AF18" s="185">
        <v>4</v>
      </c>
      <c r="AG18" s="185">
        <v>1</v>
      </c>
      <c r="AH18" s="185">
        <v>0</v>
      </c>
      <c r="AI18" s="185">
        <v>0</v>
      </c>
      <c r="AJ18" s="185">
        <v>8</v>
      </c>
      <c r="AK18" s="185">
        <v>4</v>
      </c>
      <c r="AL18" s="185">
        <v>0</v>
      </c>
      <c r="AM18" s="185">
        <v>0</v>
      </c>
      <c r="AN18" s="185">
        <v>2</v>
      </c>
      <c r="AO18" s="185">
        <v>0</v>
      </c>
      <c r="AP18" s="185">
        <v>2</v>
      </c>
      <c r="AQ18" s="185">
        <v>0</v>
      </c>
      <c r="AR18" s="185">
        <v>0</v>
      </c>
      <c r="AS18" s="185">
        <v>0</v>
      </c>
    </row>
    <row r="19" spans="1:45" s="10" customFormat="1" ht="51">
      <c r="A19" s="344"/>
      <c r="B19" s="346"/>
      <c r="C19" s="186" t="s">
        <v>655</v>
      </c>
      <c r="D19" s="187" t="s">
        <v>110</v>
      </c>
      <c r="E19" s="187" t="s">
        <v>110</v>
      </c>
      <c r="F19" s="187">
        <v>0</v>
      </c>
      <c r="G19" s="187">
        <v>0</v>
      </c>
      <c r="H19" s="187">
        <v>244</v>
      </c>
      <c r="I19" s="187">
        <v>113</v>
      </c>
      <c r="J19" s="187">
        <v>648</v>
      </c>
      <c r="K19" s="187">
        <v>480</v>
      </c>
      <c r="L19" s="187">
        <v>3</v>
      </c>
      <c r="M19" s="187">
        <v>1</v>
      </c>
      <c r="N19" s="187">
        <v>0</v>
      </c>
      <c r="O19" s="187">
        <v>0</v>
      </c>
      <c r="P19" s="187">
        <v>0</v>
      </c>
      <c r="Q19" s="187">
        <v>0</v>
      </c>
      <c r="R19" s="187">
        <v>0</v>
      </c>
      <c r="S19" s="187">
        <v>0</v>
      </c>
      <c r="T19" s="187">
        <v>22</v>
      </c>
      <c r="U19" s="187">
        <v>25</v>
      </c>
      <c r="V19" s="187">
        <v>86</v>
      </c>
      <c r="W19" s="187">
        <v>54</v>
      </c>
      <c r="X19" s="187">
        <v>0</v>
      </c>
      <c r="Y19" s="187">
        <v>0</v>
      </c>
      <c r="Z19" s="187">
        <v>0</v>
      </c>
      <c r="AA19" s="187">
        <v>0</v>
      </c>
      <c r="AB19" s="187">
        <v>0</v>
      </c>
      <c r="AC19" s="187">
        <v>0</v>
      </c>
      <c r="AD19" s="187">
        <v>0</v>
      </c>
      <c r="AE19" s="187">
        <v>0</v>
      </c>
      <c r="AF19" s="187">
        <v>0</v>
      </c>
      <c r="AG19" s="187">
        <v>0</v>
      </c>
      <c r="AH19" s="187">
        <v>0</v>
      </c>
      <c r="AI19" s="187">
        <v>0</v>
      </c>
      <c r="AJ19" s="187">
        <v>0</v>
      </c>
      <c r="AK19" s="187">
        <v>0</v>
      </c>
      <c r="AL19" s="187">
        <v>0</v>
      </c>
      <c r="AM19" s="187">
        <v>0</v>
      </c>
      <c r="AN19" s="187">
        <v>0</v>
      </c>
      <c r="AO19" s="187">
        <v>0</v>
      </c>
      <c r="AP19" s="187">
        <v>0</v>
      </c>
      <c r="AQ19" s="187">
        <v>0</v>
      </c>
      <c r="AR19" s="187">
        <v>0</v>
      </c>
      <c r="AS19" s="187">
        <v>0</v>
      </c>
    </row>
    <row r="20" spans="1:45" s="10" customFormat="1" ht="38.25">
      <c r="A20" s="344"/>
      <c r="B20" s="343" t="s">
        <v>116</v>
      </c>
      <c r="C20" s="184" t="s">
        <v>656</v>
      </c>
      <c r="D20" s="185">
        <v>40</v>
      </c>
      <c r="E20" s="185">
        <v>83</v>
      </c>
      <c r="F20" s="185">
        <v>149</v>
      </c>
      <c r="G20" s="185">
        <v>423</v>
      </c>
      <c r="H20" s="185">
        <v>49</v>
      </c>
      <c r="I20" s="185">
        <v>78</v>
      </c>
      <c r="J20" s="185">
        <v>133</v>
      </c>
      <c r="K20" s="185">
        <v>117</v>
      </c>
      <c r="L20" s="185">
        <v>3</v>
      </c>
      <c r="M20" s="185">
        <v>23</v>
      </c>
      <c r="N20" s="185">
        <v>0</v>
      </c>
      <c r="O20" s="185">
        <v>1</v>
      </c>
      <c r="P20" s="188">
        <v>0</v>
      </c>
      <c r="Q20" s="188">
        <v>1</v>
      </c>
      <c r="R20" s="188">
        <v>1</v>
      </c>
      <c r="S20" s="188">
        <v>3</v>
      </c>
      <c r="T20" s="188">
        <v>13</v>
      </c>
      <c r="U20" s="188">
        <v>48</v>
      </c>
      <c r="V20" s="188">
        <v>2</v>
      </c>
      <c r="W20" s="188">
        <v>9</v>
      </c>
      <c r="X20" s="185">
        <v>10</v>
      </c>
      <c r="Y20" s="185">
        <v>40</v>
      </c>
      <c r="Z20" s="185">
        <v>42</v>
      </c>
      <c r="AA20" s="185">
        <v>95</v>
      </c>
      <c r="AB20" s="185">
        <v>19</v>
      </c>
      <c r="AC20" s="185">
        <v>66</v>
      </c>
      <c r="AD20" s="185">
        <v>0</v>
      </c>
      <c r="AE20" s="185">
        <v>10</v>
      </c>
      <c r="AF20" s="185">
        <v>0</v>
      </c>
      <c r="AG20" s="185">
        <v>1</v>
      </c>
      <c r="AH20" s="185">
        <v>7</v>
      </c>
      <c r="AI20" s="185">
        <v>4</v>
      </c>
      <c r="AJ20" s="185">
        <v>18</v>
      </c>
      <c r="AK20" s="185">
        <v>26</v>
      </c>
      <c r="AL20" s="185">
        <v>2</v>
      </c>
      <c r="AM20" s="185">
        <v>5</v>
      </c>
      <c r="AN20" s="185">
        <v>0</v>
      </c>
      <c r="AO20" s="185">
        <v>0</v>
      </c>
      <c r="AP20" s="185">
        <v>0</v>
      </c>
      <c r="AQ20" s="185">
        <v>0</v>
      </c>
      <c r="AR20" s="185">
        <v>0</v>
      </c>
      <c r="AS20" s="185">
        <v>0</v>
      </c>
    </row>
    <row r="21" spans="1:45" s="10" customFormat="1" ht="25.5">
      <c r="A21" s="344"/>
      <c r="B21" s="345"/>
      <c r="C21" s="184" t="s">
        <v>657</v>
      </c>
      <c r="D21" s="189" t="s">
        <v>110</v>
      </c>
      <c r="E21" s="189" t="s">
        <v>110</v>
      </c>
      <c r="F21" s="189" t="s">
        <v>110</v>
      </c>
      <c r="G21" s="189" t="s">
        <v>110</v>
      </c>
      <c r="H21" s="189" t="s">
        <v>110</v>
      </c>
      <c r="I21" s="189" t="s">
        <v>110</v>
      </c>
      <c r="J21" s="189" t="s">
        <v>110</v>
      </c>
      <c r="K21" s="189" t="s">
        <v>110</v>
      </c>
      <c r="L21" s="189" t="s">
        <v>112</v>
      </c>
      <c r="M21" s="189" t="s">
        <v>110</v>
      </c>
      <c r="N21" s="189" t="s">
        <v>112</v>
      </c>
      <c r="O21" s="189" t="s">
        <v>110</v>
      </c>
      <c r="P21" s="189" t="s">
        <v>110</v>
      </c>
      <c r="Q21" s="189" t="s">
        <v>110</v>
      </c>
      <c r="R21" s="189" t="s">
        <v>110</v>
      </c>
      <c r="S21" s="189" t="s">
        <v>110</v>
      </c>
      <c r="T21" s="189" t="s">
        <v>110</v>
      </c>
      <c r="U21" s="189" t="s">
        <v>110</v>
      </c>
      <c r="V21" s="189" t="s">
        <v>110</v>
      </c>
      <c r="W21" s="189" t="s">
        <v>110</v>
      </c>
      <c r="X21" s="189" t="s">
        <v>110</v>
      </c>
      <c r="Y21" s="189" t="s">
        <v>110</v>
      </c>
      <c r="Z21" s="189" t="s">
        <v>110</v>
      </c>
      <c r="AA21" s="189" t="s">
        <v>110</v>
      </c>
      <c r="AB21" s="189" t="s">
        <v>110</v>
      </c>
      <c r="AC21" s="189" t="s">
        <v>110</v>
      </c>
      <c r="AD21" s="189" t="s">
        <v>110</v>
      </c>
      <c r="AE21" s="189" t="s">
        <v>110</v>
      </c>
      <c r="AF21" s="189" t="s">
        <v>110</v>
      </c>
      <c r="AG21" s="189" t="s">
        <v>110</v>
      </c>
      <c r="AH21" s="189" t="s">
        <v>110</v>
      </c>
      <c r="AI21" s="189" t="s">
        <v>110</v>
      </c>
      <c r="AJ21" s="189" t="s">
        <v>110</v>
      </c>
      <c r="AK21" s="189" t="s">
        <v>110</v>
      </c>
      <c r="AL21" s="189" t="s">
        <v>110</v>
      </c>
      <c r="AM21" s="189" t="s">
        <v>110</v>
      </c>
      <c r="AN21" s="189" t="s">
        <v>110</v>
      </c>
      <c r="AO21" s="189" t="s">
        <v>110</v>
      </c>
      <c r="AP21" s="189" t="s">
        <v>110</v>
      </c>
      <c r="AQ21" s="189" t="s">
        <v>110</v>
      </c>
      <c r="AR21" s="189" t="s">
        <v>110</v>
      </c>
      <c r="AS21" s="189"/>
    </row>
    <row r="22" spans="1:45" s="10" customFormat="1" ht="15.75">
      <c r="A22" s="345"/>
      <c r="B22" s="191" t="s">
        <v>117</v>
      </c>
      <c r="C22" s="184" t="s">
        <v>658</v>
      </c>
      <c r="D22" s="189" t="s">
        <v>110</v>
      </c>
      <c r="E22" s="189" t="s">
        <v>110</v>
      </c>
      <c r="F22" s="189" t="s">
        <v>110</v>
      </c>
      <c r="G22" s="189" t="s">
        <v>110</v>
      </c>
      <c r="H22" s="189" t="s">
        <v>110</v>
      </c>
      <c r="I22" s="189" t="s">
        <v>110</v>
      </c>
      <c r="J22" s="189" t="s">
        <v>110</v>
      </c>
      <c r="K22" s="189" t="s">
        <v>110</v>
      </c>
      <c r="L22" s="189" t="s">
        <v>112</v>
      </c>
      <c r="M22" s="189" t="s">
        <v>110</v>
      </c>
      <c r="N22" s="189" t="s">
        <v>112</v>
      </c>
      <c r="O22" s="189" t="s">
        <v>110</v>
      </c>
      <c r="P22" s="189" t="s">
        <v>110</v>
      </c>
      <c r="Q22" s="189" t="s">
        <v>110</v>
      </c>
      <c r="R22" s="189" t="s">
        <v>110</v>
      </c>
      <c r="S22" s="189" t="s">
        <v>110</v>
      </c>
      <c r="T22" s="189" t="s">
        <v>110</v>
      </c>
      <c r="U22" s="189" t="s">
        <v>110</v>
      </c>
      <c r="V22" s="189" t="s">
        <v>110</v>
      </c>
      <c r="W22" s="189" t="s">
        <v>110</v>
      </c>
      <c r="X22" s="189" t="s">
        <v>110</v>
      </c>
      <c r="Y22" s="189" t="s">
        <v>110</v>
      </c>
      <c r="Z22" s="189" t="s">
        <v>110</v>
      </c>
      <c r="AA22" s="189" t="s">
        <v>110</v>
      </c>
      <c r="AB22" s="189" t="s">
        <v>110</v>
      </c>
      <c r="AC22" s="189" t="s">
        <v>110</v>
      </c>
      <c r="AD22" s="189" t="s">
        <v>110</v>
      </c>
      <c r="AE22" s="189" t="s">
        <v>110</v>
      </c>
      <c r="AF22" s="189" t="s">
        <v>110</v>
      </c>
      <c r="AG22" s="189" t="s">
        <v>110</v>
      </c>
      <c r="AH22" s="189" t="s">
        <v>110</v>
      </c>
      <c r="AI22" s="189" t="s">
        <v>110</v>
      </c>
      <c r="AJ22" s="189" t="s">
        <v>110</v>
      </c>
      <c r="AK22" s="189" t="s">
        <v>110</v>
      </c>
      <c r="AL22" s="189" t="s">
        <v>110</v>
      </c>
      <c r="AM22" s="189" t="s">
        <v>110</v>
      </c>
      <c r="AN22" s="189" t="s">
        <v>110</v>
      </c>
      <c r="AO22" s="189" t="s">
        <v>110</v>
      </c>
      <c r="AP22" s="189" t="s">
        <v>110</v>
      </c>
      <c r="AQ22" s="189" t="s">
        <v>110</v>
      </c>
      <c r="AR22" s="189" t="s">
        <v>110</v>
      </c>
      <c r="AS22" s="189"/>
    </row>
    <row r="23" spans="1:45" s="11" customFormat="1" ht="21">
      <c r="A23" s="339" t="s">
        <v>659</v>
      </c>
      <c r="B23" s="340"/>
      <c r="C23" s="341"/>
      <c r="D23" s="192">
        <f>SUM(D7:D22)</f>
        <v>403</v>
      </c>
      <c r="E23" s="192">
        <f t="shared" ref="E23:AS23" si="3">SUM(E7:E22)</f>
        <v>518</v>
      </c>
      <c r="F23" s="192">
        <f t="shared" si="3"/>
        <v>2326</v>
      </c>
      <c r="G23" s="192">
        <f t="shared" si="3"/>
        <v>2819</v>
      </c>
      <c r="H23" s="192">
        <f t="shared" si="3"/>
        <v>947</v>
      </c>
      <c r="I23" s="192">
        <f t="shared" si="3"/>
        <v>789</v>
      </c>
      <c r="J23" s="192">
        <f t="shared" si="3"/>
        <v>3560</v>
      </c>
      <c r="K23" s="192">
        <f t="shared" si="3"/>
        <v>2368</v>
      </c>
      <c r="L23" s="192">
        <f t="shared" si="3"/>
        <v>50</v>
      </c>
      <c r="M23" s="192">
        <f t="shared" si="3"/>
        <v>89</v>
      </c>
      <c r="N23" s="192">
        <f t="shared" si="3"/>
        <v>23</v>
      </c>
      <c r="O23" s="192">
        <f t="shared" si="3"/>
        <v>15</v>
      </c>
      <c r="P23" s="192">
        <f t="shared" si="3"/>
        <v>1</v>
      </c>
      <c r="Q23" s="192">
        <f t="shared" si="3"/>
        <v>1</v>
      </c>
      <c r="R23" s="192">
        <f t="shared" si="3"/>
        <v>3</v>
      </c>
      <c r="S23" s="192">
        <f t="shared" si="3"/>
        <v>12</v>
      </c>
      <c r="T23" s="192">
        <f t="shared" si="3"/>
        <v>197</v>
      </c>
      <c r="U23" s="192">
        <f t="shared" si="3"/>
        <v>292</v>
      </c>
      <c r="V23" s="192">
        <f t="shared" si="3"/>
        <v>193</v>
      </c>
      <c r="W23" s="192">
        <f t="shared" si="3"/>
        <v>172</v>
      </c>
      <c r="X23" s="192">
        <f t="shared" si="3"/>
        <v>86</v>
      </c>
      <c r="Y23" s="192">
        <f t="shared" si="3"/>
        <v>148</v>
      </c>
      <c r="Z23" s="192">
        <f t="shared" si="3"/>
        <v>288</v>
      </c>
      <c r="AA23" s="192">
        <f t="shared" si="3"/>
        <v>385</v>
      </c>
      <c r="AB23" s="192">
        <f t="shared" si="3"/>
        <v>74</v>
      </c>
      <c r="AC23" s="192">
        <f t="shared" si="3"/>
        <v>141</v>
      </c>
      <c r="AD23" s="192">
        <f t="shared" si="3"/>
        <v>27</v>
      </c>
      <c r="AE23" s="192">
        <f t="shared" si="3"/>
        <v>39</v>
      </c>
      <c r="AF23" s="192">
        <f t="shared" si="3"/>
        <v>36</v>
      </c>
      <c r="AG23" s="192">
        <f t="shared" si="3"/>
        <v>36</v>
      </c>
      <c r="AH23" s="192">
        <f t="shared" si="3"/>
        <v>86</v>
      </c>
      <c r="AI23" s="192">
        <f t="shared" si="3"/>
        <v>84</v>
      </c>
      <c r="AJ23" s="192">
        <f t="shared" si="3"/>
        <v>216</v>
      </c>
      <c r="AK23" s="192">
        <f t="shared" si="3"/>
        <v>251</v>
      </c>
      <c r="AL23" s="192">
        <f t="shared" si="3"/>
        <v>12</v>
      </c>
      <c r="AM23" s="192">
        <f t="shared" si="3"/>
        <v>24</v>
      </c>
      <c r="AN23" s="192">
        <f t="shared" si="3"/>
        <v>4</v>
      </c>
      <c r="AO23" s="192">
        <f t="shared" si="3"/>
        <v>2</v>
      </c>
      <c r="AP23" s="192">
        <f t="shared" si="3"/>
        <v>6</v>
      </c>
      <c r="AQ23" s="192">
        <f t="shared" si="3"/>
        <v>4</v>
      </c>
      <c r="AR23" s="192">
        <f t="shared" si="3"/>
        <v>0</v>
      </c>
      <c r="AS23" s="192">
        <f t="shared" si="3"/>
        <v>0</v>
      </c>
    </row>
    <row r="24" spans="1:45" s="11" customFormat="1" ht="21">
      <c r="A24" s="339" t="s">
        <v>118</v>
      </c>
      <c r="B24" s="340"/>
      <c r="C24" s="341"/>
      <c r="D24" s="338">
        <f>SUM(D23:E23)</f>
        <v>921</v>
      </c>
      <c r="E24" s="321"/>
      <c r="F24" s="338">
        <f>SUM(F23:G23)</f>
        <v>5145</v>
      </c>
      <c r="G24" s="321"/>
      <c r="H24" s="338">
        <f>SUM(H23:I23)</f>
        <v>1736</v>
      </c>
      <c r="I24" s="321"/>
      <c r="J24" s="338">
        <f>SUM(J23:K23)</f>
        <v>5928</v>
      </c>
      <c r="K24" s="321"/>
      <c r="L24" s="338">
        <f>SUM(L23:M23)</f>
        <v>139</v>
      </c>
      <c r="M24" s="321"/>
      <c r="N24" s="338">
        <f>SUM(N23:O23)</f>
        <v>38</v>
      </c>
      <c r="O24" s="321"/>
      <c r="P24" s="338">
        <f>SUM(P23:Q23)</f>
        <v>2</v>
      </c>
      <c r="Q24" s="321"/>
      <c r="R24" s="338">
        <f>SUM(R23:S23)</f>
        <v>15</v>
      </c>
      <c r="S24" s="321"/>
      <c r="T24" s="338">
        <f>SUM(T23:U23)</f>
        <v>489</v>
      </c>
      <c r="U24" s="321"/>
      <c r="V24" s="338">
        <f>SUM(V23:W23)</f>
        <v>365</v>
      </c>
      <c r="W24" s="321"/>
      <c r="X24" s="338">
        <f>SUM(X23:Y23)</f>
        <v>234</v>
      </c>
      <c r="Y24" s="321"/>
      <c r="Z24" s="338">
        <f>SUM(Z23:AA23)</f>
        <v>673</v>
      </c>
      <c r="AA24" s="321"/>
      <c r="AB24" s="338">
        <f>SUM(AB23:AC23)</f>
        <v>215</v>
      </c>
      <c r="AC24" s="321"/>
      <c r="AD24" s="338">
        <f>SUM(AD23:AE23)</f>
        <v>66</v>
      </c>
      <c r="AE24" s="321"/>
      <c r="AF24" s="338">
        <f>SUM(AF23:AG23)</f>
        <v>72</v>
      </c>
      <c r="AG24" s="321"/>
      <c r="AH24" s="338">
        <f>SUM(AH23:AI23)</f>
        <v>170</v>
      </c>
      <c r="AI24" s="321"/>
      <c r="AJ24" s="338">
        <f>SUM(AJ23:AK23)</f>
        <v>467</v>
      </c>
      <c r="AK24" s="321"/>
      <c r="AL24" s="338">
        <f>SUM(AL23:AM23)</f>
        <v>36</v>
      </c>
      <c r="AM24" s="321"/>
      <c r="AN24" s="338">
        <f>SUM(AN23:AO23)</f>
        <v>6</v>
      </c>
      <c r="AO24" s="321"/>
      <c r="AP24" s="338">
        <f>SUM(AP23:AQ23)</f>
        <v>10</v>
      </c>
      <c r="AQ24" s="321"/>
      <c r="AR24" s="338">
        <f>SUM(AR23:AS23)</f>
        <v>0</v>
      </c>
      <c r="AS24" s="321"/>
    </row>
    <row r="25" spans="1:45" ht="18" customHeight="1"/>
    <row r="26" spans="1:45" s="13" customFormat="1" ht="66.75" customHeight="1">
      <c r="B26" s="337" t="s">
        <v>119</v>
      </c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337"/>
      <c r="AJ26" s="337"/>
      <c r="AK26" s="337"/>
      <c r="AL26" s="337"/>
      <c r="AM26" s="337"/>
      <c r="AN26" s="337"/>
      <c r="AO26" s="337"/>
      <c r="AP26" s="337"/>
      <c r="AQ26" s="337"/>
      <c r="AR26" s="337"/>
    </row>
    <row r="27" spans="1:45" s="16" customFormat="1" ht="21">
      <c r="A27" s="14"/>
      <c r="B27" s="336" t="s">
        <v>120</v>
      </c>
      <c r="C27" s="336"/>
      <c r="D27" s="336"/>
      <c r="E27" s="15"/>
      <c r="J27" s="17"/>
      <c r="K27" s="17"/>
    </row>
    <row r="28" spans="1:45" s="16" customFormat="1" ht="21">
      <c r="B28" s="336" t="s">
        <v>121</v>
      </c>
      <c r="C28" s="336"/>
      <c r="D28" s="336"/>
      <c r="E28" s="15"/>
      <c r="J28" s="17"/>
      <c r="K28" s="17"/>
      <c r="Z28" s="14"/>
      <c r="AA28" s="14"/>
    </row>
    <row r="29" spans="1:45" s="16" customFormat="1" ht="21">
      <c r="B29" s="336" t="s">
        <v>122</v>
      </c>
      <c r="C29" s="336"/>
      <c r="D29" s="336"/>
      <c r="E29" s="15"/>
      <c r="J29" s="17"/>
      <c r="K29" s="17"/>
      <c r="Z29" s="14"/>
      <c r="AA29" s="14"/>
    </row>
    <row r="30" spans="1:45" s="16" customFormat="1" ht="21">
      <c r="B30" s="336" t="s">
        <v>123</v>
      </c>
      <c r="C30" s="336"/>
      <c r="D30" s="336"/>
      <c r="E30" s="15"/>
      <c r="J30" s="17"/>
      <c r="K30" s="17"/>
      <c r="Z30" s="14"/>
      <c r="AA30" s="14"/>
    </row>
    <row r="31" spans="1:45" s="16" customFormat="1" ht="21">
      <c r="B31" s="336" t="s">
        <v>124</v>
      </c>
      <c r="C31" s="336"/>
      <c r="D31" s="336"/>
      <c r="E31" s="15"/>
      <c r="J31" s="17"/>
      <c r="K31" s="17"/>
      <c r="Z31" s="14"/>
      <c r="AA31" s="14"/>
    </row>
    <row r="32" spans="1:45" s="16" customFormat="1" ht="21">
      <c r="J32" s="17"/>
      <c r="K32" s="17"/>
      <c r="Z32" s="14"/>
      <c r="AA32" s="14"/>
    </row>
    <row r="33" spans="2:44" s="16" customFormat="1" ht="21">
      <c r="B33" s="337" t="s">
        <v>125</v>
      </c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337"/>
      <c r="AD33" s="337"/>
      <c r="AE33" s="337"/>
      <c r="AF33" s="337"/>
      <c r="AG33" s="337"/>
      <c r="AH33" s="337"/>
      <c r="AI33" s="337"/>
      <c r="AJ33" s="337"/>
      <c r="AK33" s="337"/>
      <c r="AL33" s="337"/>
      <c r="AM33" s="337"/>
      <c r="AN33" s="337"/>
      <c r="AO33" s="337"/>
      <c r="AP33" s="337"/>
      <c r="AQ33" s="337"/>
      <c r="AR33" s="337"/>
    </row>
    <row r="34" spans="2:44" s="18" customFormat="1" ht="21">
      <c r="J34" s="19"/>
      <c r="K34" s="19"/>
      <c r="Z34" s="20"/>
      <c r="AA34" s="20"/>
    </row>
    <row r="35" spans="2:44" s="18" customFormat="1" ht="21">
      <c r="J35" s="19"/>
      <c r="K35" s="19"/>
      <c r="Z35" s="20"/>
      <c r="AA35" s="20"/>
    </row>
    <row r="36" spans="2:44" s="18" customFormat="1" ht="21">
      <c r="J36" s="19"/>
      <c r="K36" s="19"/>
      <c r="Z36" s="20"/>
      <c r="AA36" s="20"/>
    </row>
    <row r="37" spans="2:44" s="18" customFormat="1" ht="21">
      <c r="J37" s="19"/>
      <c r="K37" s="19"/>
      <c r="Z37" s="20"/>
      <c r="AA37" s="20"/>
    </row>
    <row r="38" spans="2:44" s="18" customFormat="1" ht="21">
      <c r="J38" s="19"/>
      <c r="K38" s="19"/>
      <c r="Z38" s="20"/>
      <c r="AA38" s="20"/>
    </row>
  </sheetData>
  <mergeCells count="84">
    <mergeCell ref="A1:AS1"/>
    <mergeCell ref="A2:AS2"/>
    <mergeCell ref="A3:AS3"/>
    <mergeCell ref="A4:A6"/>
    <mergeCell ref="B4:B6"/>
    <mergeCell ref="C4:C6"/>
    <mergeCell ref="D4:E4"/>
    <mergeCell ref="F4:G4"/>
    <mergeCell ref="H4:I4"/>
    <mergeCell ref="J4:K4"/>
    <mergeCell ref="AR4:AS4"/>
    <mergeCell ref="D5:E5"/>
    <mergeCell ref="F5:G5"/>
    <mergeCell ref="H5:I5"/>
    <mergeCell ref="Z4:AA4"/>
    <mergeCell ref="AB4:AC4"/>
    <mergeCell ref="T4:U4"/>
    <mergeCell ref="V4:W4"/>
    <mergeCell ref="L4:M4"/>
    <mergeCell ref="N4:O4"/>
    <mergeCell ref="P4:Q4"/>
    <mergeCell ref="R4:S4"/>
    <mergeCell ref="AP4:AQ4"/>
    <mergeCell ref="N5:O5"/>
    <mergeCell ref="P5:Q5"/>
    <mergeCell ref="R5:S5"/>
    <mergeCell ref="T5:U5"/>
    <mergeCell ref="V5:W5"/>
    <mergeCell ref="AL5:AM5"/>
    <mergeCell ref="AN5:AO5"/>
    <mergeCell ref="AP5:AQ5"/>
    <mergeCell ref="AD4:AE4"/>
    <mergeCell ref="AF4:AG4"/>
    <mergeCell ref="AH4:AI4"/>
    <mergeCell ref="X4:Y4"/>
    <mergeCell ref="AJ4:AK4"/>
    <mergeCell ref="AL4:AM4"/>
    <mergeCell ref="AN4:AO4"/>
    <mergeCell ref="AR5:AS5"/>
    <mergeCell ref="A7:A22"/>
    <mergeCell ref="B7:B9"/>
    <mergeCell ref="B10:B11"/>
    <mergeCell ref="B12:B13"/>
    <mergeCell ref="B15:B19"/>
    <mergeCell ref="B20:B21"/>
    <mergeCell ref="Z5:AA5"/>
    <mergeCell ref="AB5:AC5"/>
    <mergeCell ref="AD5:AE5"/>
    <mergeCell ref="AF5:AG5"/>
    <mergeCell ref="AH5:AI5"/>
    <mergeCell ref="AJ5:AK5"/>
    <mergeCell ref="J5:K5"/>
    <mergeCell ref="L5:M5"/>
    <mergeCell ref="X5:Y5"/>
    <mergeCell ref="R24:S24"/>
    <mergeCell ref="T24:U24"/>
    <mergeCell ref="V24:W24"/>
    <mergeCell ref="A23:C23"/>
    <mergeCell ref="A24:C24"/>
    <mergeCell ref="D24:E24"/>
    <mergeCell ref="F24:G24"/>
    <mergeCell ref="H24:I24"/>
    <mergeCell ref="J24:K24"/>
    <mergeCell ref="B33:AR33"/>
    <mergeCell ref="AJ24:AK24"/>
    <mergeCell ref="AL24:AM24"/>
    <mergeCell ref="AN24:AO24"/>
    <mergeCell ref="AP24:AQ24"/>
    <mergeCell ref="AR24:AS24"/>
    <mergeCell ref="B26:AR26"/>
    <mergeCell ref="X24:Y24"/>
    <mergeCell ref="Z24:AA24"/>
    <mergeCell ref="AB24:AC24"/>
    <mergeCell ref="AD24:AE24"/>
    <mergeCell ref="AF24:AG24"/>
    <mergeCell ref="AH24:AI24"/>
    <mergeCell ref="L24:M24"/>
    <mergeCell ref="N24:O24"/>
    <mergeCell ref="P24:Q24"/>
    <mergeCell ref="B27:D27"/>
    <mergeCell ref="B28:D28"/>
    <mergeCell ref="B29:D29"/>
    <mergeCell ref="B30:D30"/>
    <mergeCell ref="B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ΣΥΓΚΕΝΤΡΩΤΙΚΟ ΑΕΙ ΑΕΑ</vt:lpstr>
      <vt:lpstr>Φύλλο1</vt:lpstr>
      <vt:lpstr>Φύλλο2</vt:lpstr>
      <vt:lpstr>ΣΥΝΟΛΑ ΑΕΙ ΑΕΑ </vt:lpstr>
      <vt:lpstr>ΑΕΑΑ</vt:lpstr>
      <vt:lpstr>ΑΣΚΤ</vt:lpstr>
      <vt:lpstr>ΑΣΠΑΙΤΕ</vt:lpstr>
      <vt:lpstr>ΑΠΘ</vt:lpstr>
      <vt:lpstr>ΓΕΩΠΟΝΙΚΟ</vt:lpstr>
      <vt:lpstr> ΔΙΠΑΕ</vt:lpstr>
      <vt:lpstr>ΔΠΘ</vt:lpstr>
      <vt:lpstr>ΕΑΠ</vt:lpstr>
      <vt:lpstr>ΕΚΠΑ</vt:lpstr>
      <vt:lpstr>ΕΛΜΕΠΑ</vt:lpstr>
      <vt:lpstr>ΕΜΠ</vt:lpstr>
      <vt:lpstr>ΙΟΝΙΟ ΠΑΝΜΙΟ</vt:lpstr>
      <vt:lpstr>ΟΠΑ</vt:lpstr>
      <vt:lpstr>ΠΑΔΑ</vt:lpstr>
      <vt:lpstr>ΠΑΕΑΚ</vt:lpstr>
      <vt:lpstr>Π. ΑΙΓΑΙΟΥ</vt:lpstr>
      <vt:lpstr>Π.ΔΥΤ.ΜΑΚΕΔΟΝΙΑΣ</vt:lpstr>
      <vt:lpstr>Π.ΘΕΣΣΑΛΙΑΣ</vt:lpstr>
      <vt:lpstr>Π. ΙΩΑΝΝΙΝΩΝ</vt:lpstr>
      <vt:lpstr>Π. ΚΡΗΤΗΣ</vt:lpstr>
      <vt:lpstr>Π.ΜΑΚΕΔΟΝΙΑΣ</vt:lpstr>
      <vt:lpstr>ΠΑΝΕΠΙΣΤΗΜΙΟ ΠΑΤΡΩΝ</vt:lpstr>
      <vt:lpstr>ΠΑΝΤΕΙΟ ΠΑΝ.</vt:lpstr>
      <vt:lpstr>ΠΑΠΕΙ</vt:lpstr>
      <vt:lpstr>ΠΑΠΕΛ</vt:lpstr>
      <vt:lpstr>ΠΟΛ.ΚΡΗΤΗΣ</vt:lpstr>
      <vt:lpstr>ΧΑΡΟΚΟΠΕΙΟ ΠΑΝ.</vt:lpstr>
    </vt:vector>
  </TitlesOfParts>
  <Company>Ministry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Ελισαβετ Ευθυμίου</cp:lastModifiedBy>
  <cp:lastPrinted>2022-03-04T08:14:46Z</cp:lastPrinted>
  <dcterms:created xsi:type="dcterms:W3CDTF">2016-11-23T08:33:36Z</dcterms:created>
  <dcterms:modified xsi:type="dcterms:W3CDTF">2024-11-04T11:42:17Z</dcterms:modified>
</cp:coreProperties>
</file>